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autoCompressPictures="0"/>
  <bookViews>
    <workbookView xWindow="0" yWindow="120" windowWidth="15570" windowHeight="9300"/>
  </bookViews>
  <sheets>
    <sheet name="Summary" sheetId="4" r:id="rId1"/>
    <sheet name="SSB" sheetId="1" r:id="rId2"/>
    <sheet name="OSB" sheetId="3" r:id="rId3"/>
    <sheet name="CLT" sheetId="5" r:id="rId4"/>
    <sheet name="GV" sheetId="6" r:id="rId5"/>
    <sheet name="model-wide inputs" sheetId="2" r:id="rId6"/>
  </sheets>
  <definedNames>
    <definedName name="Anc_Rev_A">SSB!$D$73</definedName>
    <definedName name="Anc_Rev_C">SSB!$C$73</definedName>
    <definedName name="BTU_A">SSB!$D$21</definedName>
    <definedName name="BTU_C">SSB!$C$21</definedName>
    <definedName name="BTUperPPH_A">SSB!$D$70</definedName>
    <definedName name="BTUperPPH_C">SSB!$C$70</definedName>
    <definedName name="CapX_A">SSB!$D$42</definedName>
    <definedName name="CapX_C">SSB!$C$42</definedName>
    <definedName name="CLT_Acres">CLT!$C$28</definedName>
    <definedName name="CLT_AnnualAdmin">CLT!$C$71</definedName>
    <definedName name="CLT_AnnualCOGS">CLT!$C$54</definedName>
    <definedName name="CLT_AnnualHourlyLabor">CLT!$C$65</definedName>
    <definedName name="CLT_AnnualLabor">CLT!$C$66</definedName>
    <definedName name="CLT_AnnualSalaries">CLT!$C$59</definedName>
    <definedName name="CLT_BEmonths">CLT!$F$73</definedName>
    <definedName name="CLT_CapX">CLT!$C$36</definedName>
    <definedName name="CLT_COGS">CLT!$C$53</definedName>
    <definedName name="CLT_ConstMonth">CLT!$C$40</definedName>
    <definedName name="CLT_ConstYr1">CLT!$C$39</definedName>
    <definedName name="CLT_MaterialPerHour">CLT!$C$46</definedName>
    <definedName name="CLT_MktBase">CLT!$C$15</definedName>
    <definedName name="CLT_MktBaseYr1">CLT!$C$16</definedName>
    <definedName name="CLT_MktShare">CLT!$O$15</definedName>
    <definedName name="CLT_NPV">CLT!$F$76</definedName>
    <definedName name="CLT_OCF">CLT!$O$67</definedName>
    <definedName name="CLT_OpHours">CLT!$C$22</definedName>
    <definedName name="CLT_OpYr1">CLT!$C$41</definedName>
    <definedName name="CLT_OpYr1Pct">CLT!$C$42</definedName>
    <definedName name="CLT_Output">CLT!$C$23</definedName>
    <definedName name="CLT_RandMperHour">CLT!$C$70</definedName>
    <definedName name="CLT_RawMaterialsCost">CLT!$C$48</definedName>
    <definedName name="CLT_RevPerFt3">CLT!$C$75</definedName>
    <definedName name="CLT_SuppliesPerHour">CLT!$C$69</definedName>
    <definedName name="ConstMonths_A">SSB!$D$46</definedName>
    <definedName name="ConstMonths_C">SSB!$C$46</definedName>
    <definedName name="ConstYr1_A">SSB!$D$45</definedName>
    <definedName name="ConstYr1_C">SSB!$C$45</definedName>
    <definedName name="Consumables_A">SSB!$D$55</definedName>
    <definedName name="Consumables_C">SSB!$C$55</definedName>
    <definedName name="docclient">Summary!$A$2</definedName>
    <definedName name="docproject">Summary!$A$3</definedName>
    <definedName name="doctitle">Summary!$A$1</definedName>
    <definedName name="docversion">Summary!$A$5</definedName>
    <definedName name="Env_A">SSB!$D$64</definedName>
    <definedName name="Env_C">SSB!$C$64</definedName>
    <definedName name="Fuel_A">SSB!$D$28</definedName>
    <definedName name="Fuel_C">SSB!$C$28</definedName>
    <definedName name="FuelCost_A">SSB!$D$54</definedName>
    <definedName name="FuelCost_C">SSB!$C$54</definedName>
    <definedName name="GA_A">SSB!$D$65</definedName>
    <definedName name="GA_C">SSB!$C$65</definedName>
    <definedName name="GV_Acres">GV!$D$29</definedName>
    <definedName name="GV_AnnualCOGS">GV!$D$54</definedName>
    <definedName name="GV_AnnualHourlyLabor">GV!$D$66</definedName>
    <definedName name="GV_AnnualSalaries">GV!$D$59</definedName>
    <definedName name="GV_BEmonths">GV!$G$77</definedName>
    <definedName name="GV_CapX">GV!$D$37</definedName>
    <definedName name="GV_ConstMonth">GV!$D$41</definedName>
    <definedName name="GV_ConstYr1">GV!$D$40</definedName>
    <definedName name="GV_GnAperMSF">GV!$D$74</definedName>
    <definedName name="GV_Growth">GV!$D$17</definedName>
    <definedName name="GV_MaintPerMSF">GV!$D$72</definedName>
    <definedName name="GV_MktBase">GV!$D$16</definedName>
    <definedName name="GV_MktShare">GV!$P$15</definedName>
    <definedName name="GV_NPV">GV!$G$80</definedName>
    <definedName name="GV_OCF">GV!$P$71</definedName>
    <definedName name="GV_OpHours">GV!$D$23</definedName>
    <definedName name="GV_OpYr1">GV!$D$42</definedName>
    <definedName name="GV_OpYr1Pct">GV!$D$43</definedName>
    <definedName name="GV_OtherPerMSF">GV!$D$75</definedName>
    <definedName name="GV_Output">GV!$D$24</definedName>
    <definedName name="GV_RawMaterialsCost">GV!$D$49</definedName>
    <definedName name="GV_RevPerMSF">GV!$D$87</definedName>
    <definedName name="GV_SalesPerMSF">GV!$D$73</definedName>
    <definedName name="GV_SuppliesPerMSF">GV!$D$70</definedName>
    <definedName name="GV_UtilitiesPerMSF">GV!$D$71</definedName>
    <definedName name="HurdleRate">'model-wide inputs'!$B$21</definedName>
    <definedName name="Infl_A">SSB!$D$17</definedName>
    <definedName name="Infl_C">SSB!$C$17</definedName>
    <definedName name="InflElec_A">SSB!$D$16</definedName>
    <definedName name="InflElec_C">SSB!$C$16</definedName>
    <definedName name="Labor_A">SSB!$D$60</definedName>
    <definedName name="Labor_C">SSB!$C$60</definedName>
    <definedName name="Maint_A">SSB!$D$62</definedName>
    <definedName name="Maint_C">SSB!$C$62</definedName>
    <definedName name="MajorMaint_A">SSB!$D$63</definedName>
    <definedName name="MajorMaint_C">SSB!$C$63</definedName>
    <definedName name="modelYear1">'model-wide inputs'!$B$8</definedName>
    <definedName name="modelYears">'model-wide inputs'!$B$8:$B$17</definedName>
    <definedName name="MW_A">SSB!$D$20</definedName>
    <definedName name="MW_C">SSB!$C$20</definedName>
    <definedName name="OpHrs_A">SSB!$D$22</definedName>
    <definedName name="OpHrs_C">SSB!$C$22</definedName>
    <definedName name="OptionChoice">SSB!$D$14</definedName>
    <definedName name="OpYr1_A">SSB!$D$47</definedName>
    <definedName name="OpYr1_C">SSB!$C$47</definedName>
    <definedName name="OpYr1Pct_A">SSB!$D$48</definedName>
    <definedName name="OpYr1Pct_C">SSB!$C$48</definedName>
    <definedName name="OSB_Acres">OSB!$C$27</definedName>
    <definedName name="OSB_AnnualCOGS">OSB!$C$52</definedName>
    <definedName name="OSB_AnnualHourlyLabor">OSB!$C$65</definedName>
    <definedName name="OSB_AnnualSalaries">OSB!$C$58</definedName>
    <definedName name="OSB_BEmonths">OSB!$F$76</definedName>
    <definedName name="OSB_CapX">OSB!$C$35</definedName>
    <definedName name="OSB_ConstMonth">OSB!$C$39</definedName>
    <definedName name="OSB_ConstYr1">OSB!$C$38</definedName>
    <definedName name="OSB_ContSvcesPerMSF">OSB!$C$70</definedName>
    <definedName name="OSB_Growth">OSB!$C$16</definedName>
    <definedName name="OSB_MaterialPerHour">OSB!$C$45</definedName>
    <definedName name="OSB_MktBase">OSB!$C$15</definedName>
    <definedName name="OSB_MktBaseYr1">OSB!$C$15</definedName>
    <definedName name="OSB_MktShare">OSB!$O$15</definedName>
    <definedName name="OSB_NPV">OSB!$F$79</definedName>
    <definedName name="OSB_OCF">OSB!$O$70</definedName>
    <definedName name="OSB_OpHours">OSB!$C$22</definedName>
    <definedName name="OSB_OpYr1">OSB!$C$40</definedName>
    <definedName name="OSB_OpYr1Pct">OSB!$C$41</definedName>
    <definedName name="OSB_OtherPerMSF">OSB!$C$71</definedName>
    <definedName name="OSB_Output">OSB!$C$23</definedName>
    <definedName name="OSB_RawMaterialsCost">OSB!$C$47</definedName>
    <definedName name="OSB_RevPerMSF">OSB!$C$75</definedName>
    <definedName name="OSB_SuppliesPerMSF">OSB!$C$68</definedName>
    <definedName name="OSB_UtilitiesPerMSF">OSB!$C$69</definedName>
    <definedName name="RevPerKWH_A">SSB!$D$68</definedName>
    <definedName name="RevPerKWH_C">SSB!$C$68</definedName>
    <definedName name="RevPerMpph_A">SSB!$D$69</definedName>
    <definedName name="RevPerMpph_C">SSB!$C$69</definedName>
    <definedName name="solver_eng" localSheetId="1" hidden="1">1</definedName>
    <definedName name="solver_neg" localSheetId="1" hidden="1">1</definedName>
    <definedName name="solver_num" localSheetId="1" hidden="1">0</definedName>
    <definedName name="solver_opt" localSheetId="1" hidden="1">SSB!#REF!</definedName>
    <definedName name="solver_typ" localSheetId="1" hidden="1">1</definedName>
    <definedName name="solver_val" localSheetId="1" hidden="1">0</definedName>
    <definedName name="solver_ver" localSheetId="1" hidden="1">3</definedName>
    <definedName name="SSB_Acres">SSB!$D$34</definedName>
    <definedName name="SSB_BEmonths">SSB!$S$67</definedName>
    <definedName name="SSB_CapX">SSB!$D$42</definedName>
    <definedName name="SSB_NPV">SSB!$S$70</definedName>
    <definedName name="SSB_OCF">SSB!$AB$61</definedName>
    <definedName name="SSB_SA_Acres">SSB!$C$34</definedName>
    <definedName name="SSB_SA_BEmonths">SSB!$G$67</definedName>
    <definedName name="SSB_SA_CapX">SSB!$C$42</definedName>
    <definedName name="SSB_SA_NPV">SSB!$G$70</definedName>
    <definedName name="SSB_SA_OCF">SSB!$P$61</definedName>
    <definedName name="SSBstyle">'model-wide inputs'!#REF!</definedName>
    <definedName name="targetMarkets">'model-wide inputs'!#REF!</definedName>
    <definedName name="TVmult">'model-wide inputs'!$B$20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9" i="4" l="1"/>
  <c r="B48" i="4"/>
  <c r="B46" i="4"/>
  <c r="N53" i="4"/>
  <c r="J52" i="4"/>
  <c r="K52" i="4"/>
  <c r="L52" i="4"/>
  <c r="M52" i="4"/>
  <c r="I52" i="4"/>
  <c r="N51" i="4"/>
  <c r="M51" i="4"/>
  <c r="L51" i="4"/>
  <c r="K51" i="4"/>
  <c r="J51" i="4"/>
  <c r="I51" i="4"/>
  <c r="N48" i="4"/>
  <c r="I47" i="4"/>
  <c r="I49" i="4" s="1"/>
  <c r="J50" i="4"/>
  <c r="K50" i="4" s="1"/>
  <c r="I50" i="4"/>
  <c r="J47" i="4"/>
  <c r="J49" i="4" s="1"/>
  <c r="B43" i="4"/>
  <c r="D35" i="4"/>
  <c r="D28" i="4"/>
  <c r="D21" i="4"/>
  <c r="K47" i="4" l="1"/>
  <c r="K49" i="4" s="1"/>
  <c r="L50" i="4"/>
  <c r="C54" i="1"/>
  <c r="M50" i="4" l="1"/>
  <c r="N52" i="4"/>
  <c r="N50" i="4"/>
  <c r="L47" i="4"/>
  <c r="L49" i="4" s="1"/>
  <c r="D81" i="6"/>
  <c r="D80" i="6"/>
  <c r="N49" i="4" l="1"/>
  <c r="M47" i="4"/>
  <c r="M49" i="4" s="1"/>
  <c r="N47" i="4"/>
  <c r="D21" i="6"/>
  <c r="D23" i="6" s="1"/>
  <c r="D24" i="6" s="1"/>
  <c r="D76" i="6" s="1"/>
  <c r="D82" i="6"/>
  <c r="C19" i="5" l="1"/>
  <c r="C46" i="5"/>
  <c r="C20" i="5"/>
  <c r="C65" i="5" s="1"/>
  <c r="C47" i="5"/>
  <c r="C70" i="5" l="1"/>
  <c r="C69" i="5"/>
  <c r="C71" i="3" l="1"/>
  <c r="C70" i="3"/>
  <c r="C69" i="3"/>
  <c r="C68" i="3"/>
  <c r="C58" i="3"/>
  <c r="C75" i="3"/>
  <c r="C19" i="3" l="1"/>
  <c r="D48" i="6" l="1"/>
  <c r="C45" i="3" l="1"/>
  <c r="C31" i="5" l="1"/>
  <c r="D32" i="6"/>
  <c r="D38" i="1" l="1"/>
  <c r="C26" i="1"/>
  <c r="D85" i="6" l="1"/>
  <c r="D83" i="6"/>
  <c r="S13" i="1"/>
  <c r="T13" i="1" s="1"/>
  <c r="U13" i="1" s="1"/>
  <c r="V13" i="1" s="1"/>
  <c r="W13" i="1" s="1"/>
  <c r="X13" i="1" s="1"/>
  <c r="Y13" i="1" s="1"/>
  <c r="Z13" i="1" s="1"/>
  <c r="AA13" i="1" s="1"/>
  <c r="AB13" i="1" s="1"/>
  <c r="G13" i="1"/>
  <c r="H13" i="1" s="1"/>
  <c r="I13" i="1" s="1"/>
  <c r="J13" i="1" s="1"/>
  <c r="K13" i="1" s="1"/>
  <c r="L13" i="1" s="1"/>
  <c r="M13" i="1" s="1"/>
  <c r="N13" i="1" s="1"/>
  <c r="O13" i="1" s="1"/>
  <c r="P13" i="1" s="1"/>
  <c r="C9" i="4"/>
  <c r="D60" i="1"/>
  <c r="D54" i="1"/>
  <c r="D47" i="1"/>
  <c r="D41" i="1"/>
  <c r="D42" i="1" s="1"/>
  <c r="C10" i="4" s="1"/>
  <c r="B22" i="4" s="1"/>
  <c r="D22" i="4" s="1"/>
  <c r="D40" i="1"/>
  <c r="D23" i="1"/>
  <c r="S41" i="1"/>
  <c r="T41" i="1" s="1"/>
  <c r="D87" i="6" l="1"/>
  <c r="T52" i="1"/>
  <c r="T43" i="1"/>
  <c r="T51" i="1"/>
  <c r="T44" i="1"/>
  <c r="T45" i="1"/>
  <c r="T50" i="1"/>
  <c r="S45" i="1"/>
  <c r="R10" i="1"/>
  <c r="U41" i="1"/>
  <c r="U50" i="1" s="1"/>
  <c r="C13" i="5"/>
  <c r="U43" i="1" l="1"/>
  <c r="U52" i="1"/>
  <c r="U45" i="1"/>
  <c r="U44" i="1"/>
  <c r="U51" i="1"/>
  <c r="V41" i="1"/>
  <c r="D49" i="6"/>
  <c r="C41" i="5"/>
  <c r="C22" i="5"/>
  <c r="C48" i="5" s="1"/>
  <c r="F43" i="5"/>
  <c r="G43" i="5" s="1"/>
  <c r="C53" i="5"/>
  <c r="C59" i="5"/>
  <c r="C66" i="5" s="1"/>
  <c r="C34" i="5"/>
  <c r="C36" i="5" s="1"/>
  <c r="F43" i="3"/>
  <c r="C40" i="3"/>
  <c r="C20" i="3"/>
  <c r="C22" i="3"/>
  <c r="C23" i="3"/>
  <c r="C51" i="3"/>
  <c r="C33" i="3"/>
  <c r="C35" i="3"/>
  <c r="D42" i="6"/>
  <c r="D53" i="6"/>
  <c r="D54" i="6" s="1"/>
  <c r="D66" i="6"/>
  <c r="D59" i="6"/>
  <c r="C72" i="3"/>
  <c r="D35" i="6"/>
  <c r="D37" i="6" s="1"/>
  <c r="F10" i="4" s="1"/>
  <c r="D16" i="6"/>
  <c r="G13" i="6" s="1"/>
  <c r="H13" i="6" s="1"/>
  <c r="I13" i="6" s="1"/>
  <c r="J13" i="6" s="1"/>
  <c r="G44" i="6"/>
  <c r="F12" i="5"/>
  <c r="C15" i="5"/>
  <c r="C15" i="3"/>
  <c r="F13" i="3" s="1"/>
  <c r="G13" i="3" s="1"/>
  <c r="H13" i="3" s="1"/>
  <c r="I13" i="3" s="1"/>
  <c r="J13" i="3" s="1"/>
  <c r="K13" i="3" s="1"/>
  <c r="L13" i="3" s="1"/>
  <c r="M13" i="3" s="1"/>
  <c r="N13" i="3" s="1"/>
  <c r="O13" i="3" s="1"/>
  <c r="E45" i="3"/>
  <c r="C47" i="1"/>
  <c r="C23" i="1"/>
  <c r="E45" i="5"/>
  <c r="C60" i="1"/>
  <c r="C40" i="1"/>
  <c r="C41" i="1"/>
  <c r="G41" i="1"/>
  <c r="A4" i="6"/>
  <c r="A3" i="6"/>
  <c r="A2" i="6"/>
  <c r="A1" i="6"/>
  <c r="A4" i="5"/>
  <c r="A3" i="5"/>
  <c r="A2" i="5"/>
  <c r="A1" i="5"/>
  <c r="A4" i="3"/>
  <c r="A3" i="3"/>
  <c r="A2" i="3"/>
  <c r="A1" i="3"/>
  <c r="A4" i="1"/>
  <c r="A3" i="1"/>
  <c r="A2" i="1"/>
  <c r="B9" i="2"/>
  <c r="B10" i="2" s="1"/>
  <c r="B11" i="2" s="1"/>
  <c r="B12" i="2" s="1"/>
  <c r="B13" i="2" s="1"/>
  <c r="B14" i="2" s="1"/>
  <c r="B15" i="2" s="1"/>
  <c r="B16" i="2" s="1"/>
  <c r="B17" i="2" s="1"/>
  <c r="A1" i="1"/>
  <c r="A1" i="2"/>
  <c r="A2" i="2"/>
  <c r="A3" i="2"/>
  <c r="C65" i="3" l="1"/>
  <c r="C66" i="3" s="1"/>
  <c r="F63" i="5"/>
  <c r="H44" i="6"/>
  <c r="H67" i="6" s="1"/>
  <c r="H68" i="6" s="1"/>
  <c r="G60" i="6"/>
  <c r="G56" i="6"/>
  <c r="G43" i="3"/>
  <c r="F51" i="3"/>
  <c r="F12" i="3"/>
  <c r="F66" i="3"/>
  <c r="G63" i="5"/>
  <c r="G64" i="5" s="1"/>
  <c r="G12" i="5"/>
  <c r="G13" i="5" s="1"/>
  <c r="H43" i="5"/>
  <c r="H63" i="5" s="1"/>
  <c r="H64" i="5" s="1"/>
  <c r="C23" i="5"/>
  <c r="G66" i="3"/>
  <c r="G67" i="3" s="1"/>
  <c r="G12" i="3"/>
  <c r="H43" i="3"/>
  <c r="F13" i="5"/>
  <c r="F67" i="3"/>
  <c r="I43" i="5"/>
  <c r="I53" i="5" s="1"/>
  <c r="V45" i="1"/>
  <c r="V44" i="1"/>
  <c r="V43" i="1"/>
  <c r="V52" i="1"/>
  <c r="V51" i="1"/>
  <c r="V50" i="1"/>
  <c r="D67" i="6"/>
  <c r="D10" i="4"/>
  <c r="B24" i="4" s="1"/>
  <c r="D24" i="4" s="1"/>
  <c r="C47" i="3"/>
  <c r="C52" i="3"/>
  <c r="F45" i="3"/>
  <c r="F46" i="3" s="1"/>
  <c r="I44" i="6"/>
  <c r="G12" i="6"/>
  <c r="G67" i="6"/>
  <c r="G68" i="6" s="1"/>
  <c r="B9" i="4"/>
  <c r="F10" i="1"/>
  <c r="H41" i="1"/>
  <c r="G45" i="1"/>
  <c r="G52" i="1"/>
  <c r="G43" i="1"/>
  <c r="G51" i="1"/>
  <c r="G57" i="1"/>
  <c r="G44" i="1"/>
  <c r="G50" i="1"/>
  <c r="C28" i="1"/>
  <c r="D26" i="1"/>
  <c r="C42" i="1"/>
  <c r="W41" i="1"/>
  <c r="G14" i="3"/>
  <c r="G15" i="3" s="1"/>
  <c r="G51" i="3"/>
  <c r="F55" i="3"/>
  <c r="G54" i="3"/>
  <c r="G45" i="3"/>
  <c r="G46" i="3" s="1"/>
  <c r="F54" i="3"/>
  <c r="G53" i="3"/>
  <c r="F58" i="3"/>
  <c r="F60" i="3" s="1"/>
  <c r="F53" i="3"/>
  <c r="F49" i="3"/>
  <c r="F14" i="3"/>
  <c r="F15" i="3" s="1"/>
  <c r="G58" i="3"/>
  <c r="G60" i="3" s="1"/>
  <c r="G52" i="3"/>
  <c r="G55" i="3"/>
  <c r="F52" i="3"/>
  <c r="H53" i="6"/>
  <c r="G54" i="6"/>
  <c r="G51" i="6"/>
  <c r="G59" i="6"/>
  <c r="G14" i="6"/>
  <c r="G15" i="6" s="1"/>
  <c r="G55" i="6"/>
  <c r="H14" i="6"/>
  <c r="H15" i="6" s="1"/>
  <c r="H59" i="6"/>
  <c r="G46" i="6"/>
  <c r="G47" i="6" s="1"/>
  <c r="G52" i="6"/>
  <c r="H55" i="6"/>
  <c r="G53" i="6"/>
  <c r="E10" i="4"/>
  <c r="B23" i="4" s="1"/>
  <c r="D23" i="4" s="1"/>
  <c r="D25" i="4" s="1"/>
  <c r="G57" i="5"/>
  <c r="G56" i="5"/>
  <c r="F57" i="5"/>
  <c r="F53" i="5"/>
  <c r="F51" i="5"/>
  <c r="H51" i="5"/>
  <c r="G49" i="5"/>
  <c r="F56" i="5"/>
  <c r="F49" i="5"/>
  <c r="H49" i="5"/>
  <c r="G51" i="5"/>
  <c r="G53" i="5"/>
  <c r="F64" i="5"/>
  <c r="K13" i="6"/>
  <c r="L13" i="6" s="1"/>
  <c r="M13" i="6" s="1"/>
  <c r="G50" i="6"/>
  <c r="H52" i="6" l="1"/>
  <c r="H51" i="6"/>
  <c r="H12" i="6"/>
  <c r="H50" i="6"/>
  <c r="H46" i="6"/>
  <c r="H47" i="6" s="1"/>
  <c r="H54" i="6"/>
  <c r="H60" i="6"/>
  <c r="H56" i="6"/>
  <c r="I54" i="6"/>
  <c r="I56" i="6"/>
  <c r="I60" i="6"/>
  <c r="H53" i="3"/>
  <c r="H55" i="3"/>
  <c r="I51" i="5"/>
  <c r="H56" i="5"/>
  <c r="I57" i="5"/>
  <c r="I55" i="6"/>
  <c r="H14" i="3"/>
  <c r="H15" i="3" s="1"/>
  <c r="H54" i="3"/>
  <c r="H49" i="3"/>
  <c r="I56" i="5"/>
  <c r="I14" i="6"/>
  <c r="I15" i="6" s="1"/>
  <c r="I53" i="6"/>
  <c r="H45" i="3"/>
  <c r="H46" i="3" s="1"/>
  <c r="H52" i="3"/>
  <c r="H12" i="5"/>
  <c r="H13" i="5" s="1"/>
  <c r="I59" i="6"/>
  <c r="I61" i="6" s="1"/>
  <c r="I46" i="6"/>
  <c r="I47" i="6" s="1"/>
  <c r="I52" i="6"/>
  <c r="I49" i="5"/>
  <c r="I50" i="6"/>
  <c r="H57" i="5"/>
  <c r="H58" i="5" s="1"/>
  <c r="H53" i="5"/>
  <c r="H51" i="3"/>
  <c r="H58" i="3"/>
  <c r="H60" i="3" s="1"/>
  <c r="H50" i="3"/>
  <c r="G49" i="3"/>
  <c r="G58" i="5"/>
  <c r="I43" i="3"/>
  <c r="I55" i="3" s="1"/>
  <c r="H66" i="3"/>
  <c r="H67" i="3" s="1"/>
  <c r="H12" i="3"/>
  <c r="H51" i="1"/>
  <c r="H45" i="1"/>
  <c r="H52" i="1"/>
  <c r="H50" i="1"/>
  <c r="H43" i="1"/>
  <c r="H44" i="1"/>
  <c r="H48" i="1"/>
  <c r="H49" i="1"/>
  <c r="J43" i="5"/>
  <c r="I12" i="5"/>
  <c r="I13" i="5" s="1"/>
  <c r="I63" i="5"/>
  <c r="I64" i="5" s="1"/>
  <c r="W45" i="1"/>
  <c r="W44" i="1"/>
  <c r="W52" i="1"/>
  <c r="W51" i="1"/>
  <c r="W43" i="1"/>
  <c r="W50" i="1"/>
  <c r="I50" i="3"/>
  <c r="G50" i="3"/>
  <c r="F50" i="3"/>
  <c r="F56" i="3" s="1"/>
  <c r="F61" i="3" s="1"/>
  <c r="F62" i="3" s="1"/>
  <c r="F70" i="3" s="1"/>
  <c r="F71" i="3" s="1"/>
  <c r="B10" i="4"/>
  <c r="G58" i="1"/>
  <c r="G49" i="1"/>
  <c r="G61" i="6"/>
  <c r="G57" i="6"/>
  <c r="H61" i="6"/>
  <c r="I67" i="6"/>
  <c r="I68" i="6" s="1"/>
  <c r="I12" i="6"/>
  <c r="I51" i="6"/>
  <c r="J44" i="6"/>
  <c r="G48" i="1"/>
  <c r="G46" i="1"/>
  <c r="I41" i="1"/>
  <c r="H57" i="1"/>
  <c r="H58" i="1" s="1"/>
  <c r="D28" i="1"/>
  <c r="T57" i="1"/>
  <c r="T58" i="1" s="1"/>
  <c r="S57" i="1"/>
  <c r="S58" i="1" s="1"/>
  <c r="U57" i="1"/>
  <c r="U58" i="1" s="1"/>
  <c r="S43" i="1"/>
  <c r="S50" i="1"/>
  <c r="S44" i="1"/>
  <c r="S52" i="1"/>
  <c r="S51" i="1"/>
  <c r="V46" i="1"/>
  <c r="X41" i="1"/>
  <c r="W57" i="1"/>
  <c r="W58" i="1" s="1"/>
  <c r="V57" i="1"/>
  <c r="V58" i="1" s="1"/>
  <c r="F58" i="5"/>
  <c r="I58" i="5"/>
  <c r="N13" i="6"/>
  <c r="H57" i="6" l="1"/>
  <c r="J56" i="6"/>
  <c r="J60" i="6"/>
  <c r="G56" i="3"/>
  <c r="H56" i="3"/>
  <c r="I57" i="6"/>
  <c r="I62" i="6" s="1"/>
  <c r="I63" i="6" s="1"/>
  <c r="I71" i="6" s="1"/>
  <c r="X52" i="1"/>
  <c r="X51" i="1"/>
  <c r="X44" i="1"/>
  <c r="X43" i="1"/>
  <c r="X45" i="1"/>
  <c r="X50" i="1"/>
  <c r="J63" i="5"/>
  <c r="J64" i="5" s="1"/>
  <c r="K43" i="5"/>
  <c r="J12" i="5"/>
  <c r="J13" i="5" s="1"/>
  <c r="J56" i="5"/>
  <c r="J53" i="5"/>
  <c r="J51" i="5"/>
  <c r="J57" i="5"/>
  <c r="J49" i="5"/>
  <c r="I12" i="3"/>
  <c r="J43" i="3"/>
  <c r="I66" i="3"/>
  <c r="I67" i="3" s="1"/>
  <c r="I53" i="3"/>
  <c r="I52" i="3"/>
  <c r="I49" i="3"/>
  <c r="I54" i="3"/>
  <c r="I14" i="3"/>
  <c r="I15" i="3" s="1"/>
  <c r="I51" i="3"/>
  <c r="I58" i="3"/>
  <c r="I60" i="3" s="1"/>
  <c r="I45" i="3"/>
  <c r="I46" i="3" s="1"/>
  <c r="I44" i="1"/>
  <c r="I43" i="1"/>
  <c r="I52" i="1"/>
  <c r="I51" i="1"/>
  <c r="I50" i="1"/>
  <c r="I49" i="1"/>
  <c r="I48" i="1"/>
  <c r="I45" i="1"/>
  <c r="X49" i="1"/>
  <c r="X48" i="1"/>
  <c r="W49" i="1"/>
  <c r="W48" i="1"/>
  <c r="T48" i="1"/>
  <c r="V49" i="1"/>
  <c r="V48" i="1"/>
  <c r="T49" i="1"/>
  <c r="U49" i="1"/>
  <c r="U48" i="1"/>
  <c r="G62" i="6"/>
  <c r="G63" i="6" s="1"/>
  <c r="G71" i="6" s="1"/>
  <c r="G72" i="6" s="1"/>
  <c r="W46" i="1"/>
  <c r="W16" i="1" s="1"/>
  <c r="V17" i="1"/>
  <c r="V15" i="1"/>
  <c r="V16" i="1"/>
  <c r="V14" i="1"/>
  <c r="G17" i="1"/>
  <c r="G15" i="1"/>
  <c r="G14" i="1"/>
  <c r="G16" i="1"/>
  <c r="H46" i="1"/>
  <c r="H62" i="6"/>
  <c r="H63" i="6" s="1"/>
  <c r="H71" i="6" s="1"/>
  <c r="J12" i="6"/>
  <c r="J51" i="6"/>
  <c r="K44" i="6"/>
  <c r="J59" i="6"/>
  <c r="J67" i="6"/>
  <c r="J68" i="6" s="1"/>
  <c r="J50" i="6"/>
  <c r="J55" i="6"/>
  <c r="J46" i="6"/>
  <c r="J47" i="6" s="1"/>
  <c r="J52" i="6"/>
  <c r="J53" i="6"/>
  <c r="J54" i="6"/>
  <c r="J14" i="6"/>
  <c r="J15" i="6" s="1"/>
  <c r="U46" i="1"/>
  <c r="J41" i="1"/>
  <c r="I57" i="1"/>
  <c r="I58" i="1" s="1"/>
  <c r="S46" i="1"/>
  <c r="T46" i="1"/>
  <c r="Y41" i="1"/>
  <c r="Y49" i="1" s="1"/>
  <c r="X57" i="1"/>
  <c r="X58" i="1" s="1"/>
  <c r="O13" i="6"/>
  <c r="K60" i="6" l="1"/>
  <c r="K56" i="6"/>
  <c r="W17" i="1"/>
  <c r="G61" i="3"/>
  <c r="G62" i="3" s="1"/>
  <c r="G70" i="3" s="1"/>
  <c r="G71" i="3" s="1"/>
  <c r="H61" i="3"/>
  <c r="H62" i="3" s="1"/>
  <c r="H70" i="3" s="1"/>
  <c r="J58" i="5"/>
  <c r="Y43" i="1"/>
  <c r="Y51" i="1"/>
  <c r="Y45" i="1"/>
  <c r="Y44" i="1"/>
  <c r="Y52" i="1"/>
  <c r="Y50" i="1"/>
  <c r="J52" i="1"/>
  <c r="J51" i="1"/>
  <c r="J50" i="1"/>
  <c r="J49" i="1"/>
  <c r="J48" i="1"/>
  <c r="J43" i="1"/>
  <c r="J45" i="1"/>
  <c r="J44" i="1"/>
  <c r="Y48" i="1"/>
  <c r="I56" i="3"/>
  <c r="K43" i="3"/>
  <c r="J66" i="3"/>
  <c r="J67" i="3" s="1"/>
  <c r="J12" i="3"/>
  <c r="J49" i="3"/>
  <c r="J58" i="3"/>
  <c r="J60" i="3" s="1"/>
  <c r="J51" i="3"/>
  <c r="J54" i="3"/>
  <c r="J14" i="3"/>
  <c r="J15" i="3" s="1"/>
  <c r="J53" i="3"/>
  <c r="J52" i="3"/>
  <c r="J45" i="3"/>
  <c r="J46" i="3" s="1"/>
  <c r="J55" i="3"/>
  <c r="J50" i="3"/>
  <c r="K63" i="5"/>
  <c r="K64" i="5" s="1"/>
  <c r="L43" i="5"/>
  <c r="K12" i="5"/>
  <c r="K13" i="5" s="1"/>
  <c r="K51" i="5"/>
  <c r="K53" i="5"/>
  <c r="K57" i="5"/>
  <c r="K56" i="5"/>
  <c r="K49" i="5"/>
  <c r="H72" i="6"/>
  <c r="I72" i="6" s="1"/>
  <c r="W15" i="1"/>
  <c r="W14" i="1"/>
  <c r="X46" i="1"/>
  <c r="X14" i="1" s="1"/>
  <c r="S15" i="1"/>
  <c r="S16" i="1"/>
  <c r="S14" i="1"/>
  <c r="S17" i="1"/>
  <c r="T16" i="1"/>
  <c r="T14" i="1"/>
  <c r="T17" i="1"/>
  <c r="T15" i="1"/>
  <c r="U14" i="1"/>
  <c r="U17" i="1"/>
  <c r="U15" i="1"/>
  <c r="U16" i="1"/>
  <c r="H17" i="1"/>
  <c r="H16" i="1"/>
  <c r="H15" i="1"/>
  <c r="H14" i="1"/>
  <c r="K50" i="6"/>
  <c r="L44" i="6"/>
  <c r="K67" i="6"/>
  <c r="K68" i="6" s="1"/>
  <c r="K51" i="6"/>
  <c r="K12" i="6"/>
  <c r="K52" i="6"/>
  <c r="K14" i="6"/>
  <c r="K15" i="6" s="1"/>
  <c r="K53" i="6"/>
  <c r="K54" i="6"/>
  <c r="K55" i="6"/>
  <c r="K59" i="6"/>
  <c r="K46" i="6"/>
  <c r="K47" i="6" s="1"/>
  <c r="J57" i="6"/>
  <c r="J61" i="6"/>
  <c r="K41" i="1"/>
  <c r="J57" i="1"/>
  <c r="J58" i="1" s="1"/>
  <c r="I46" i="1"/>
  <c r="Y57" i="1"/>
  <c r="Y58" i="1" s="1"/>
  <c r="Z41" i="1"/>
  <c r="P13" i="6"/>
  <c r="L56" i="6" l="1"/>
  <c r="L60" i="6"/>
  <c r="H71" i="3"/>
  <c r="I61" i="3"/>
  <c r="I62" i="3" s="1"/>
  <c r="I70" i="3" s="1"/>
  <c r="K58" i="5"/>
  <c r="K66" i="3"/>
  <c r="K67" i="3" s="1"/>
  <c r="K12" i="3"/>
  <c r="L43" i="3"/>
  <c r="K45" i="3"/>
  <c r="K46" i="3" s="1"/>
  <c r="K54" i="3"/>
  <c r="K49" i="3"/>
  <c r="K58" i="3"/>
  <c r="K60" i="3" s="1"/>
  <c r="K53" i="3"/>
  <c r="K52" i="3"/>
  <c r="K51" i="3"/>
  <c r="K14" i="3"/>
  <c r="K15" i="3" s="1"/>
  <c r="K55" i="3"/>
  <c r="K50" i="3"/>
  <c r="Z45" i="1"/>
  <c r="Z44" i="1"/>
  <c r="Z52" i="1"/>
  <c r="Z51" i="1"/>
  <c r="Z43" i="1"/>
  <c r="Z50" i="1"/>
  <c r="Z49" i="1"/>
  <c r="Z48" i="1"/>
  <c r="K49" i="1"/>
  <c r="K45" i="1"/>
  <c r="K50" i="1"/>
  <c r="K44" i="1"/>
  <c r="K43" i="1"/>
  <c r="K52" i="1"/>
  <c r="K51" i="1"/>
  <c r="K48" i="1"/>
  <c r="J56" i="3"/>
  <c r="L63" i="5"/>
  <c r="L64" i="5" s="1"/>
  <c r="L12" i="5"/>
  <c r="L13" i="5" s="1"/>
  <c r="M43" i="5"/>
  <c r="L49" i="5"/>
  <c r="L53" i="5"/>
  <c r="L57" i="5"/>
  <c r="L51" i="5"/>
  <c r="L56" i="5"/>
  <c r="X15" i="1"/>
  <c r="X17" i="1"/>
  <c r="J46" i="1"/>
  <c r="J14" i="1" s="1"/>
  <c r="Y46" i="1"/>
  <c r="Y17" i="1" s="1"/>
  <c r="X16" i="1"/>
  <c r="I16" i="1"/>
  <c r="I15" i="1"/>
  <c r="I14" i="1"/>
  <c r="I17" i="1"/>
  <c r="K57" i="6"/>
  <c r="J62" i="6"/>
  <c r="J63" i="6" s="1"/>
  <c r="J71" i="6" s="1"/>
  <c r="J72" i="6" s="1"/>
  <c r="L52" i="6"/>
  <c r="M44" i="6"/>
  <c r="L67" i="6"/>
  <c r="L68" i="6" s="1"/>
  <c r="L59" i="6"/>
  <c r="L12" i="6"/>
  <c r="L53" i="6"/>
  <c r="L54" i="6"/>
  <c r="L51" i="6"/>
  <c r="L46" i="6"/>
  <c r="L47" i="6" s="1"/>
  <c r="L14" i="6"/>
  <c r="L15" i="6" s="1"/>
  <c r="L50" i="6"/>
  <c r="L55" i="6"/>
  <c r="K61" i="6"/>
  <c r="L41" i="1"/>
  <c r="K57" i="1"/>
  <c r="K58" i="1" s="1"/>
  <c r="Z57" i="1"/>
  <c r="Z58" i="1" s="1"/>
  <c r="AA41" i="1"/>
  <c r="S49" i="1"/>
  <c r="S48" i="1"/>
  <c r="M56" i="6" l="1"/>
  <c r="M60" i="6"/>
  <c r="K62" i="6"/>
  <c r="K63" i="6" s="1"/>
  <c r="K71" i="6" s="1"/>
  <c r="K72" i="6" s="1"/>
  <c r="L58" i="5"/>
  <c r="I71" i="3"/>
  <c r="J61" i="3"/>
  <c r="J62" i="3" s="1"/>
  <c r="J70" i="3" s="1"/>
  <c r="S53" i="1"/>
  <c r="S54" i="1" s="1"/>
  <c r="S61" i="1" s="1"/>
  <c r="S62" i="1" s="1"/>
  <c r="L45" i="1"/>
  <c r="L44" i="1"/>
  <c r="L43" i="1"/>
  <c r="L52" i="1"/>
  <c r="L51" i="1"/>
  <c r="L50" i="1"/>
  <c r="L49" i="1"/>
  <c r="L48" i="1"/>
  <c r="M12" i="5"/>
  <c r="M13" i="5" s="1"/>
  <c r="M63" i="5"/>
  <c r="M64" i="5" s="1"/>
  <c r="N43" i="5"/>
  <c r="M49" i="5"/>
  <c r="M53" i="5"/>
  <c r="M57" i="5"/>
  <c r="M51" i="5"/>
  <c r="M56" i="5"/>
  <c r="K56" i="3"/>
  <c r="AA45" i="1"/>
  <c r="AA44" i="1"/>
  <c r="AA52" i="1"/>
  <c r="AA51" i="1"/>
  <c r="AA43" i="1"/>
  <c r="AA50" i="1"/>
  <c r="AA48" i="1"/>
  <c r="AA49" i="1"/>
  <c r="M43" i="3"/>
  <c r="L66" i="3"/>
  <c r="L67" i="3" s="1"/>
  <c r="L12" i="3"/>
  <c r="L58" i="3"/>
  <c r="L60" i="3" s="1"/>
  <c r="L45" i="3"/>
  <c r="L46" i="3" s="1"/>
  <c r="L52" i="3"/>
  <c r="L54" i="3"/>
  <c r="L53" i="3"/>
  <c r="L55" i="3"/>
  <c r="L51" i="3"/>
  <c r="L14" i="3"/>
  <c r="L15" i="3" s="1"/>
  <c r="L49" i="3"/>
  <c r="L50" i="3"/>
  <c r="L61" i="6"/>
  <c r="J15" i="1"/>
  <c r="J16" i="1"/>
  <c r="J17" i="1"/>
  <c r="Y15" i="1"/>
  <c r="Y16" i="1"/>
  <c r="Y14" i="1"/>
  <c r="L57" i="6"/>
  <c r="M52" i="6"/>
  <c r="M59" i="6"/>
  <c r="M12" i="6"/>
  <c r="M67" i="6"/>
  <c r="M68" i="6" s="1"/>
  <c r="N44" i="6"/>
  <c r="M51" i="6"/>
  <c r="M50" i="6"/>
  <c r="M54" i="6"/>
  <c r="M53" i="6"/>
  <c r="M55" i="6"/>
  <c r="M46" i="6"/>
  <c r="M47" i="6" s="1"/>
  <c r="M14" i="6"/>
  <c r="M15" i="6" s="1"/>
  <c r="Z46" i="1"/>
  <c r="K46" i="1"/>
  <c r="M41" i="1"/>
  <c r="L57" i="1"/>
  <c r="L58" i="1" s="1"/>
  <c r="Z53" i="1"/>
  <c r="Y53" i="1"/>
  <c r="Y54" i="1" s="1"/>
  <c r="Y61" i="1" s="1"/>
  <c r="W53" i="1"/>
  <c r="W54" i="1" s="1"/>
  <c r="W61" i="1" s="1"/>
  <c r="V53" i="1"/>
  <c r="V54" i="1" s="1"/>
  <c r="V61" i="1" s="1"/>
  <c r="U53" i="1"/>
  <c r="U54" i="1" s="1"/>
  <c r="U61" i="1" s="1"/>
  <c r="T53" i="1"/>
  <c r="T54" i="1" s="1"/>
  <c r="T61" i="1" s="1"/>
  <c r="T62" i="1" s="1"/>
  <c r="X53" i="1"/>
  <c r="X54" i="1" s="1"/>
  <c r="X61" i="1" s="1"/>
  <c r="AB41" i="1"/>
  <c r="AA57" i="1"/>
  <c r="AA58" i="1" s="1"/>
  <c r="H53" i="1"/>
  <c r="H54" i="1" s="1"/>
  <c r="H61" i="1" s="1"/>
  <c r="K53" i="1"/>
  <c r="G53" i="1"/>
  <c r="G54" i="1" s="1"/>
  <c r="G61" i="1" s="1"/>
  <c r="G62" i="1" s="1"/>
  <c r="J53" i="1"/>
  <c r="J54" i="1" s="1"/>
  <c r="J61" i="1" s="1"/>
  <c r="I53" i="1"/>
  <c r="I54" i="1" s="1"/>
  <c r="I61" i="1" s="1"/>
  <c r="N60" i="6" l="1"/>
  <c r="N56" i="6"/>
  <c r="L62" i="6"/>
  <c r="L63" i="6" s="1"/>
  <c r="L71" i="6" s="1"/>
  <c r="L72" i="6" s="1"/>
  <c r="J71" i="3"/>
  <c r="K61" i="3"/>
  <c r="K62" i="3" s="1"/>
  <c r="K70" i="3" s="1"/>
  <c r="M58" i="5"/>
  <c r="M12" i="3"/>
  <c r="N43" i="3"/>
  <c r="M66" i="3"/>
  <c r="M67" i="3" s="1"/>
  <c r="M14" i="3"/>
  <c r="M15" i="3" s="1"/>
  <c r="M53" i="3"/>
  <c r="M52" i="3"/>
  <c r="M49" i="3"/>
  <c r="M55" i="3"/>
  <c r="M54" i="3"/>
  <c r="M51" i="3"/>
  <c r="M58" i="3"/>
  <c r="M60" i="3" s="1"/>
  <c r="M45" i="3"/>
  <c r="M46" i="3" s="1"/>
  <c r="M50" i="3"/>
  <c r="AB52" i="1"/>
  <c r="AB51" i="1"/>
  <c r="AB43" i="1"/>
  <c r="AB45" i="1"/>
  <c r="AB44" i="1"/>
  <c r="AB50" i="1"/>
  <c r="AB49" i="1"/>
  <c r="AB48" i="1"/>
  <c r="L56" i="3"/>
  <c r="M44" i="1"/>
  <c r="M43" i="1"/>
  <c r="M52" i="1"/>
  <c r="M51" i="1"/>
  <c r="M50" i="1"/>
  <c r="M49" i="1"/>
  <c r="M48" i="1"/>
  <c r="M45" i="1"/>
  <c r="O43" i="5"/>
  <c r="N63" i="5"/>
  <c r="N64" i="5" s="1"/>
  <c r="N12" i="5"/>
  <c r="N13" i="5" s="1"/>
  <c r="N53" i="5"/>
  <c r="N57" i="5"/>
  <c r="N51" i="5"/>
  <c r="N49" i="5"/>
  <c r="N56" i="5"/>
  <c r="K54" i="1"/>
  <c r="K61" i="1" s="1"/>
  <c r="U62" i="1"/>
  <c r="L53" i="1"/>
  <c r="Z17" i="1"/>
  <c r="Z15" i="1"/>
  <c r="Z16" i="1"/>
  <c r="Z14" i="1"/>
  <c r="K17" i="1"/>
  <c r="K16" i="1"/>
  <c r="K15" i="1"/>
  <c r="K14" i="1"/>
  <c r="M61" i="6"/>
  <c r="N52" i="6"/>
  <c r="N12" i="6"/>
  <c r="N51" i="6"/>
  <c r="N59" i="6"/>
  <c r="N61" i="6" s="1"/>
  <c r="O44" i="6"/>
  <c r="N67" i="6"/>
  <c r="N68" i="6" s="1"/>
  <c r="N46" i="6"/>
  <c r="N47" i="6" s="1"/>
  <c r="N14" i="6"/>
  <c r="N15" i="6" s="1"/>
  <c r="N53" i="6"/>
  <c r="N54" i="6"/>
  <c r="N50" i="6"/>
  <c r="N55" i="6"/>
  <c r="M57" i="6"/>
  <c r="N41" i="1"/>
  <c r="M57" i="1"/>
  <c r="M58" i="1" s="1"/>
  <c r="L46" i="1"/>
  <c r="AA46" i="1"/>
  <c r="V62" i="1"/>
  <c r="W62" i="1" s="1"/>
  <c r="X62" i="1" s="1"/>
  <c r="Y62" i="1" s="1"/>
  <c r="Z54" i="1"/>
  <c r="Z61" i="1" s="1"/>
  <c r="H62" i="1"/>
  <c r="I62" i="1" s="1"/>
  <c r="J62" i="1" s="1"/>
  <c r="AA53" i="1"/>
  <c r="AB57" i="1"/>
  <c r="AB58" i="1" s="1"/>
  <c r="G14" i="5"/>
  <c r="G15" i="5" s="1"/>
  <c r="O56" i="6" l="1"/>
  <c r="O60" i="6"/>
  <c r="K71" i="3"/>
  <c r="L61" i="3"/>
  <c r="L62" i="3" s="1"/>
  <c r="L70" i="3" s="1"/>
  <c r="K62" i="1"/>
  <c r="O43" i="3"/>
  <c r="N66" i="3"/>
  <c r="N67" i="3" s="1"/>
  <c r="N12" i="3"/>
  <c r="N49" i="3"/>
  <c r="N58" i="3"/>
  <c r="N60" i="3" s="1"/>
  <c r="N51" i="3"/>
  <c r="N54" i="3"/>
  <c r="N53" i="3"/>
  <c r="N52" i="3"/>
  <c r="N45" i="3"/>
  <c r="N46" i="3" s="1"/>
  <c r="N14" i="3"/>
  <c r="N15" i="3" s="1"/>
  <c r="N55" i="3"/>
  <c r="N50" i="3"/>
  <c r="M56" i="3"/>
  <c r="N52" i="1"/>
  <c r="N51" i="1"/>
  <c r="N50" i="1"/>
  <c r="N49" i="1"/>
  <c r="N48" i="1"/>
  <c r="N44" i="1"/>
  <c r="N43" i="1"/>
  <c r="N45" i="1"/>
  <c r="N58" i="5"/>
  <c r="O63" i="5"/>
  <c r="O64" i="5" s="1"/>
  <c r="O12" i="5"/>
  <c r="O13" i="5" s="1"/>
  <c r="O51" i="5"/>
  <c r="O49" i="5"/>
  <c r="O56" i="5"/>
  <c r="O53" i="5"/>
  <c r="O57" i="5"/>
  <c r="K14" i="5"/>
  <c r="K15" i="5" s="1"/>
  <c r="H45" i="5"/>
  <c r="H46" i="5" s="1"/>
  <c r="M14" i="5"/>
  <c r="M15" i="5" s="1"/>
  <c r="O45" i="5"/>
  <c r="O46" i="5" s="1"/>
  <c r="M62" i="6"/>
  <c r="M63" i="6" s="1"/>
  <c r="M71" i="6" s="1"/>
  <c r="M72" i="6" s="1"/>
  <c r="L54" i="1"/>
  <c r="L61" i="1" s="1"/>
  <c r="AB46" i="1"/>
  <c r="AB17" i="1" s="1"/>
  <c r="Z62" i="1"/>
  <c r="AA17" i="1"/>
  <c r="AA15" i="1"/>
  <c r="AA16" i="1"/>
  <c r="AA14" i="1"/>
  <c r="L17" i="1"/>
  <c r="L16" i="1"/>
  <c r="L15" i="1"/>
  <c r="L14" i="1"/>
  <c r="N57" i="6"/>
  <c r="N62" i="6" s="1"/>
  <c r="N63" i="6" s="1"/>
  <c r="N71" i="6" s="1"/>
  <c r="O51" i="6"/>
  <c r="P44" i="6"/>
  <c r="O52" i="6"/>
  <c r="O67" i="6"/>
  <c r="O68" i="6" s="1"/>
  <c r="O12" i="6"/>
  <c r="O59" i="6"/>
  <c r="O50" i="6"/>
  <c r="O46" i="6"/>
  <c r="O47" i="6" s="1"/>
  <c r="O54" i="6"/>
  <c r="O14" i="6"/>
  <c r="O15" i="6" s="1"/>
  <c r="O53" i="6"/>
  <c r="O55" i="6"/>
  <c r="M46" i="1"/>
  <c r="M53" i="1"/>
  <c r="O41" i="1"/>
  <c r="N57" i="1"/>
  <c r="N58" i="1" s="1"/>
  <c r="AA54" i="1"/>
  <c r="AA61" i="1" s="1"/>
  <c r="AB53" i="1"/>
  <c r="F45" i="5"/>
  <c r="F46" i="5" s="1"/>
  <c r="F14" i="5"/>
  <c r="F15" i="5" s="1"/>
  <c r="I45" i="5"/>
  <c r="I46" i="5" s="1"/>
  <c r="M45" i="5"/>
  <c r="M46" i="5" s="1"/>
  <c r="I14" i="5"/>
  <c r="I15" i="5" s="1"/>
  <c r="L45" i="5"/>
  <c r="L46" i="5" s="1"/>
  <c r="O14" i="5"/>
  <c r="N14" i="5"/>
  <c r="N15" i="5" s="1"/>
  <c r="H14" i="5"/>
  <c r="H15" i="5" s="1"/>
  <c r="L14" i="5"/>
  <c r="L15" i="5" s="1"/>
  <c r="K45" i="5"/>
  <c r="K46" i="5" s="1"/>
  <c r="C54" i="5"/>
  <c r="J45" i="5"/>
  <c r="J46" i="5" s="1"/>
  <c r="N45" i="5"/>
  <c r="N46" i="5" s="1"/>
  <c r="G45" i="5"/>
  <c r="G46" i="5" s="1"/>
  <c r="J14" i="5"/>
  <c r="J15" i="5" s="1"/>
  <c r="P56" i="6" l="1"/>
  <c r="P60" i="6"/>
  <c r="L62" i="1"/>
  <c r="L71" i="3"/>
  <c r="M61" i="3"/>
  <c r="M62" i="3" s="1"/>
  <c r="M70" i="3" s="1"/>
  <c r="N72" i="6"/>
  <c r="O15" i="5"/>
  <c r="E13" i="4" s="1"/>
  <c r="O66" i="3"/>
  <c r="O67" i="3" s="1"/>
  <c r="O12" i="3"/>
  <c r="O45" i="3"/>
  <c r="O46" i="3" s="1"/>
  <c r="O54" i="3"/>
  <c r="O49" i="3"/>
  <c r="O58" i="3"/>
  <c r="O52" i="3"/>
  <c r="O51" i="3"/>
  <c r="O14" i="3"/>
  <c r="O15" i="3" s="1"/>
  <c r="D13" i="4" s="1"/>
  <c r="O55" i="3"/>
  <c r="O53" i="3"/>
  <c r="O50" i="3"/>
  <c r="O58" i="5"/>
  <c r="N56" i="3"/>
  <c r="O52" i="1"/>
  <c r="O50" i="1"/>
  <c r="O45" i="1"/>
  <c r="O51" i="1"/>
  <c r="O48" i="1"/>
  <c r="O44" i="1"/>
  <c r="O43" i="1"/>
  <c r="O49" i="1"/>
  <c r="AB54" i="1"/>
  <c r="AB61" i="1" s="1"/>
  <c r="AB16" i="1"/>
  <c r="AB14" i="1"/>
  <c r="AB15" i="1"/>
  <c r="AA62" i="1"/>
  <c r="AB62" i="1" s="1"/>
  <c r="M17" i="1"/>
  <c r="M16" i="1"/>
  <c r="M15" i="1"/>
  <c r="M14" i="1"/>
  <c r="N53" i="1"/>
  <c r="M54" i="1"/>
  <c r="M61" i="1" s="1"/>
  <c r="M62" i="1" s="1"/>
  <c r="O61" i="6"/>
  <c r="P51" i="6"/>
  <c r="P67" i="6"/>
  <c r="P68" i="6" s="1"/>
  <c r="P52" i="6"/>
  <c r="P59" i="6"/>
  <c r="P12" i="6"/>
  <c r="P55" i="6"/>
  <c r="P50" i="6"/>
  <c r="P14" i="6"/>
  <c r="P15" i="6" s="1"/>
  <c r="F13" i="4" s="1"/>
  <c r="P54" i="6"/>
  <c r="P46" i="6"/>
  <c r="P47" i="6" s="1"/>
  <c r="P53" i="6"/>
  <c r="O57" i="6"/>
  <c r="N46" i="1"/>
  <c r="P41" i="1"/>
  <c r="O57" i="1"/>
  <c r="O58" i="1" s="1"/>
  <c r="J50" i="5"/>
  <c r="L50" i="5"/>
  <c r="M50" i="5"/>
  <c r="G50" i="5"/>
  <c r="N50" i="5"/>
  <c r="F50" i="5"/>
  <c r="O50" i="5"/>
  <c r="I50" i="5"/>
  <c r="H50" i="5"/>
  <c r="K50" i="5"/>
  <c r="M71" i="3" l="1"/>
  <c r="N61" i="3"/>
  <c r="N62" i="3" s="1"/>
  <c r="N70" i="3" s="1"/>
  <c r="O60" i="3"/>
  <c r="N54" i="1"/>
  <c r="N61" i="1" s="1"/>
  <c r="N62" i="1" s="1"/>
  <c r="S71" i="1"/>
  <c r="S70" i="1"/>
  <c r="C12" i="4" s="1"/>
  <c r="B36" i="4" s="1"/>
  <c r="D36" i="4" s="1"/>
  <c r="O56" i="3"/>
  <c r="P45" i="1"/>
  <c r="P43" i="1"/>
  <c r="P44" i="1"/>
  <c r="P52" i="1"/>
  <c r="P51" i="1"/>
  <c r="P50" i="1"/>
  <c r="P49" i="1"/>
  <c r="P48" i="1"/>
  <c r="C11" i="4"/>
  <c r="B29" i="4" s="1"/>
  <c r="D29" i="4" s="1"/>
  <c r="S65" i="1"/>
  <c r="P61" i="6"/>
  <c r="O62" i="6"/>
  <c r="O63" i="6" s="1"/>
  <c r="O71" i="6" s="1"/>
  <c r="O72" i="6" s="1"/>
  <c r="O46" i="1"/>
  <c r="O14" i="1" s="1"/>
  <c r="N17" i="1"/>
  <c r="N16" i="1"/>
  <c r="N15" i="1"/>
  <c r="N14" i="1"/>
  <c r="P57" i="6"/>
  <c r="P57" i="1"/>
  <c r="P58" i="1" s="1"/>
  <c r="O53" i="1"/>
  <c r="P62" i="6" l="1"/>
  <c r="P63" i="6" s="1"/>
  <c r="P71" i="6" s="1"/>
  <c r="G80" i="6" s="1"/>
  <c r="F12" i="4" s="1"/>
  <c r="O54" i="1"/>
  <c r="O61" i="1" s="1"/>
  <c r="O62" i="1" s="1"/>
  <c r="N71" i="3"/>
  <c r="O61" i="3"/>
  <c r="O62" i="3" s="1"/>
  <c r="O70" i="3" s="1"/>
  <c r="F11" i="4"/>
  <c r="G81" i="6"/>
  <c r="O15" i="1"/>
  <c r="O16" i="1"/>
  <c r="O17" i="1"/>
  <c r="P72" i="6"/>
  <c r="P53" i="1"/>
  <c r="P46" i="1"/>
  <c r="F80" i="3" l="1"/>
  <c r="F79" i="3"/>
  <c r="D12" i="4" s="1"/>
  <c r="B38" i="4" s="1"/>
  <c r="D38" i="4" s="1"/>
  <c r="D11" i="4"/>
  <c r="B31" i="4" s="1"/>
  <c r="D31" i="4" s="1"/>
  <c r="O71" i="3"/>
  <c r="F74" i="3" s="1"/>
  <c r="F77" i="3" s="1"/>
  <c r="P17" i="1"/>
  <c r="P16" i="1"/>
  <c r="P15" i="1"/>
  <c r="P14" i="1"/>
  <c r="P54" i="1"/>
  <c r="P61" i="1" s="1"/>
  <c r="G75" i="6"/>
  <c r="G76" i="6" s="1"/>
  <c r="F75" i="3" l="1"/>
  <c r="F76" i="3" s="1"/>
  <c r="D14" i="4" s="1"/>
  <c r="D15" i="4" s="1"/>
  <c r="G71" i="1"/>
  <c r="G70" i="1"/>
  <c r="B12" i="4" s="1"/>
  <c r="B11" i="4"/>
  <c r="P62" i="1"/>
  <c r="G65" i="1" s="1"/>
  <c r="G78" i="6"/>
  <c r="G77" i="6"/>
  <c r="S66" i="1"/>
  <c r="F14" i="4" l="1"/>
  <c r="F15" i="4" s="1"/>
  <c r="G66" i="1"/>
  <c r="G67" i="1" s="1"/>
  <c r="B14" i="4" s="1"/>
  <c r="S67" i="1"/>
  <c r="C14" i="4" s="1"/>
  <c r="S68" i="1"/>
  <c r="G68" i="1"/>
  <c r="B15" i="4" l="1"/>
  <c r="C15" i="4"/>
  <c r="J52" i="5"/>
  <c r="J54" i="5" s="1"/>
  <c r="H52" i="5"/>
  <c r="N52" i="5"/>
  <c r="N54" i="5" s="1"/>
  <c r="F52" i="5"/>
  <c r="F54" i="5" s="1"/>
  <c r="F59" i="5" s="1"/>
  <c r="F60" i="5" s="1"/>
  <c r="F67" i="5" s="1"/>
  <c r="F68" i="5" s="1"/>
  <c r="H54" i="5" l="1"/>
  <c r="H59" i="5" s="1"/>
  <c r="H60" i="5" s="1"/>
  <c r="H67" i="5" s="1"/>
  <c r="H61" i="5"/>
  <c r="N59" i="5"/>
  <c r="N60" i="5" s="1"/>
  <c r="N67" i="5" s="1"/>
  <c r="J59" i="5"/>
  <c r="J60" i="5" s="1"/>
  <c r="J67" i="5" s="1"/>
  <c r="G52" i="5"/>
  <c r="G54" i="5" s="1"/>
  <c r="L52" i="5"/>
  <c r="L54" i="5" s="1"/>
  <c r="M52" i="5"/>
  <c r="M54" i="5" s="1"/>
  <c r="O52" i="5"/>
  <c r="O54" i="5" s="1"/>
  <c r="I52" i="5"/>
  <c r="I54" i="5" s="1"/>
  <c r="K52" i="5"/>
  <c r="K54" i="5" s="1"/>
  <c r="M59" i="5" l="1"/>
  <c r="M60" i="5" s="1"/>
  <c r="M67" i="5" s="1"/>
  <c r="K59" i="5"/>
  <c r="K60" i="5" s="1"/>
  <c r="K67" i="5" s="1"/>
  <c r="L59" i="5"/>
  <c r="L60" i="5" s="1"/>
  <c r="L67" i="5" s="1"/>
  <c r="I59" i="5"/>
  <c r="I60" i="5" s="1"/>
  <c r="I67" i="5" s="1"/>
  <c r="G59" i="5"/>
  <c r="G60" i="5" s="1"/>
  <c r="G67" i="5" s="1"/>
  <c r="O59" i="5"/>
  <c r="O60" i="5" s="1"/>
  <c r="O67" i="5" s="1"/>
  <c r="F77" i="5" l="1"/>
  <c r="G68" i="5"/>
  <c r="H68" i="5" s="1"/>
  <c r="I68" i="5" s="1"/>
  <c r="J68" i="5" s="1"/>
  <c r="K68" i="5" s="1"/>
  <c r="L68" i="5" s="1"/>
  <c r="M68" i="5" s="1"/>
  <c r="N68" i="5" s="1"/>
  <c r="O68" i="5" s="1"/>
  <c r="F76" i="5"/>
  <c r="E12" i="4" s="1"/>
  <c r="B37" i="4" s="1"/>
  <c r="D37" i="4" s="1"/>
  <c r="D39" i="4" s="1"/>
  <c r="E11" i="4"/>
  <c r="B30" i="4" s="1"/>
  <c r="D30" i="4" s="1"/>
  <c r="D32" i="4" s="1"/>
  <c r="F71" i="5" l="1"/>
  <c r="F72" i="5" s="1"/>
  <c r="F73" i="5" s="1"/>
  <c r="E14" i="4" s="1"/>
  <c r="E15" i="4" s="1"/>
  <c r="F74" i="5" l="1"/>
</calcChain>
</file>

<file path=xl/comments1.xml><?xml version="1.0" encoding="utf-8"?>
<comments xmlns="http://schemas.openxmlformats.org/spreadsheetml/2006/main">
  <authors>
    <author>Info</author>
  </authors>
  <commentList>
    <comment ref="A12" authorId="0">
      <text>
        <r>
          <rPr>
            <sz val="9"/>
            <color indexed="81"/>
            <rFont val="Tahoma"/>
            <family val="2"/>
          </rPr>
          <t>Info:
This is the NPV of the Operating Cash Flow streams including a teminal value multiplier assumption.  
Caution:
This model does not consider taxation, depreciation or other considerations that may have a material impact on the financial value of the project.   As a result, this NPV value should only be considered as a comparative value vs. the other business concepts in this workbook.</t>
        </r>
      </text>
    </comment>
  </commentList>
</comments>
</file>

<file path=xl/comments2.xml><?xml version="1.0" encoding="utf-8"?>
<comments xmlns="http://schemas.openxmlformats.org/spreadsheetml/2006/main">
  <authors>
    <author>Kyle</author>
    <author>Fido</author>
    <author>Info</author>
  </authors>
  <commentList>
    <comment ref="C16" authorId="0">
      <text>
        <r>
          <rPr>
            <sz val="9"/>
            <color indexed="81"/>
            <rFont val="Tahoma"/>
            <family val="2"/>
          </rPr>
          <t>Info:
DO NOT ADJUST.
Per Bill Carlson 9/20/2015 - The nature of the electrical sales per SB1122 is that their value will be flat with no inflation.</t>
        </r>
      </text>
    </comment>
    <comment ref="D16" authorId="0">
      <text>
        <r>
          <rPr>
            <sz val="9"/>
            <color indexed="81"/>
            <rFont val="Tahoma"/>
            <family val="2"/>
          </rPr>
          <t>Info:
DO NOT ADJUST.
Per Bill Carlson 9/20/2015 - The nature of the electrical sales per SB1122 is that their value will be flat with no inflation.</t>
        </r>
      </text>
    </comment>
    <comment ref="D21" authorId="0">
      <text>
        <r>
          <rPr>
            <sz val="9"/>
            <color indexed="81"/>
            <rFont val="Tahoma"/>
            <family val="2"/>
          </rPr>
          <t>Info:
Per Bill Carlson 9/20/2015</t>
        </r>
      </text>
    </comment>
    <comment ref="C26" authorId="0">
      <text>
        <r>
          <rPr>
            <sz val="9"/>
            <color indexed="81"/>
            <rFont val="Tahoma"/>
            <family val="2"/>
          </rPr>
          <t>Info:
Per Bill Carlson 9/20/2015</t>
        </r>
      </text>
    </comment>
    <comment ref="D26" authorId="0">
      <text>
        <r>
          <rPr>
            <sz val="9"/>
            <color indexed="81"/>
            <rFont val="Tahoma"/>
            <family val="2"/>
          </rPr>
          <t>Info:
Per Bill Carlson 9/20/2015</t>
        </r>
      </text>
    </comment>
    <comment ref="D27" authorId="0">
      <text>
        <r>
          <rPr>
            <sz val="9"/>
            <color indexed="81"/>
            <rFont val="Tahoma"/>
            <family val="2"/>
          </rPr>
          <t>Info:
Source:  Bill Carlson, 9/21/2015.</t>
        </r>
      </text>
    </comment>
    <comment ref="C31" authorId="1">
      <text>
        <r>
          <rPr>
            <sz val="9"/>
            <color indexed="81"/>
            <rFont val="Tahoma"/>
            <family val="2"/>
          </rPr>
          <t>Info:
Per B. Carlsonon 8/17 review call, CA SB1122 mandates that this is 100%
Per K. Wait email on 8/5/2015, this is driven by situational factors, then by lowest cost source.  Realistically could be 0-100%</t>
        </r>
      </text>
    </comment>
    <comment ref="D31" authorId="1">
      <text>
        <r>
          <rPr>
            <sz val="9"/>
            <color indexed="81"/>
            <rFont val="Tahoma"/>
            <family val="2"/>
          </rPr>
          <t>Info:
Per B. Carlsonon 8/17 review call, CA SB1122 mandates that this is 100%
Per K. Wait email on 8/5/2015, this is driven by situational factors, then by lowest cost source.  Realistically could be 0-100%</t>
        </r>
      </text>
    </comment>
    <comment ref="C37" authorId="1">
      <text>
        <r>
          <rPr>
            <sz val="9"/>
            <color indexed="81"/>
            <rFont val="Tahoma"/>
            <family val="2"/>
          </rPr>
          <t>Info:
$20-25M per K. Wait interview 8/5/2015</t>
        </r>
      </text>
    </comment>
    <comment ref="D37" authorId="1">
      <text>
        <r>
          <rPr>
            <sz val="9"/>
            <color indexed="81"/>
            <rFont val="Tahoma"/>
            <family val="2"/>
          </rPr>
          <t>Info:
Per Bill Carlson 9/20/2015 -- Incremental capital of $2.5M for increased boiler cost.
NOTE:
Assumes the 80MBF sawmill is pre-existing.  Capital costs do not include sawmill construction costs.</t>
        </r>
      </text>
    </comment>
    <comment ref="D38" authorId="0">
      <text>
        <r>
          <rPr>
            <sz val="9"/>
            <color indexed="81"/>
            <rFont val="Tahoma"/>
            <family val="2"/>
          </rPr>
          <t>Info:
Per Bil Carlson, 9/20/2015</t>
        </r>
      </text>
    </comment>
    <comment ref="C41" authorId="1">
      <text>
        <r>
          <rPr>
            <sz val="9"/>
            <color indexed="81"/>
            <rFont val="Tahoma"/>
            <family val="2"/>
          </rPr>
          <t>Info:
$2-4M per K. Wait interview 8/5/2015</t>
        </r>
      </text>
    </comment>
    <comment ref="D41" authorId="1">
      <text>
        <r>
          <rPr>
            <sz val="9"/>
            <color indexed="81"/>
            <rFont val="Tahoma"/>
            <family val="2"/>
          </rPr>
          <t>Info:
$2-4M per K. Wait interview 8/5/2015</t>
        </r>
      </text>
    </comment>
    <comment ref="C46" authorId="1">
      <text>
        <r>
          <rPr>
            <sz val="9"/>
            <color indexed="81"/>
            <rFont val="Tahoma"/>
            <family val="2"/>
          </rPr>
          <t>Info:
Per Bill Carlson 9/20/2015</t>
        </r>
      </text>
    </comment>
    <comment ref="D46" authorId="1">
      <text>
        <r>
          <rPr>
            <sz val="9"/>
            <color indexed="81"/>
            <rFont val="Tahoma"/>
            <family val="2"/>
          </rPr>
          <t>Info:
Per Bill Carlson 9/20/2015</t>
        </r>
      </text>
    </comment>
    <comment ref="C55" authorId="1">
      <text>
        <r>
          <rPr>
            <sz val="9"/>
            <color indexed="81"/>
            <rFont val="Tahoma"/>
            <family val="2"/>
          </rPr>
          <t>Info:
Roughly $100k/year for 3MW plant (per K. Wait interview 8/5/2015)</t>
        </r>
      </text>
    </comment>
    <comment ref="D62" authorId="0">
      <text>
        <r>
          <rPr>
            <sz val="9"/>
            <color indexed="81"/>
            <rFont val="Tahoma"/>
            <family val="2"/>
          </rPr>
          <t>Info:
Per Bill Carlson, 9/20/2015</t>
        </r>
      </text>
    </comment>
    <comment ref="D63" authorId="0">
      <text>
        <r>
          <rPr>
            <sz val="9"/>
            <color indexed="81"/>
            <rFont val="Tahoma"/>
            <family val="2"/>
          </rPr>
          <t>Info:
Per Bill Carlson, 9/20/2015</t>
        </r>
      </text>
    </comment>
    <comment ref="D64" authorId="0">
      <text>
        <r>
          <rPr>
            <sz val="9"/>
            <color indexed="81"/>
            <rFont val="Tahoma"/>
            <family val="2"/>
          </rPr>
          <t>Info:
Per Bill Carlson, 9/20/2015</t>
        </r>
      </text>
    </comment>
    <comment ref="C65" authorId="0">
      <text>
        <r>
          <rPr>
            <sz val="9"/>
            <color indexed="81"/>
            <rFont val="Tahoma"/>
            <family val="2"/>
          </rPr>
          <t>Info:
Includes $370k in annual insurance and property taxes (per Bill Carlson 9/20/2015) ) -- 70% of the $370k is property tax; 30% is insurance.</t>
        </r>
      </text>
    </comment>
    <comment ref="D65" authorId="0">
      <text>
        <r>
          <rPr>
            <sz val="9"/>
            <color indexed="81"/>
            <rFont val="Tahoma"/>
            <family val="2"/>
          </rPr>
          <t>Info:
Includes $400k in annual insurance and property taxes (per Bill Carlson 9/20/2015) -- 70% of the $400k is property tax; 30% is insurance.</t>
        </r>
      </text>
    </comment>
    <comment ref="F70" authorId="2">
      <text>
        <r>
          <rPr>
            <sz val="9"/>
            <color indexed="81"/>
            <rFont val="Tahoma"/>
            <family val="2"/>
          </rPr>
          <t>Info:
This is the NPV of the Operating Cash Flow streams including a teminal value multiplier assumption.  
Caution:
This model does not consider taxation, depreciation or other considerations that may have a material impact on the financial value of the project.   As a result, this NPV value should only be considered as a comparative value vs. the other business concepts in this workbook.</t>
        </r>
      </text>
    </comment>
    <comment ref="R70" authorId="2">
      <text>
        <r>
          <rPr>
            <sz val="9"/>
            <color indexed="81"/>
            <rFont val="Tahoma"/>
            <family val="2"/>
          </rPr>
          <t>Info:
This is the NPV of the Operating Cash Flow streams including a teminal value multiplier assumption.  
Caution:
This model does not consider taxation, depreciation or other considerations that may have a material impact on the financial value of the project.   As a result, this NPV value should only be considered as a comparative value vs. the other business concepts in this workbook.</t>
        </r>
      </text>
    </comment>
    <comment ref="D73" authorId="0">
      <text>
        <r>
          <rPr>
            <sz val="9"/>
            <color indexed="81"/>
            <rFont val="Tahoma"/>
            <family val="2"/>
          </rPr>
          <t>Info:
Per Bill Carlson 9/20/2015 -- all incremental revenues would be realized through steam sales.</t>
        </r>
      </text>
    </comment>
  </commentList>
</comments>
</file>

<file path=xl/comments3.xml><?xml version="1.0" encoding="utf-8"?>
<comments xmlns="http://schemas.openxmlformats.org/spreadsheetml/2006/main">
  <authors>
    <author>Fido</author>
    <author>Info</author>
  </authors>
  <commentList>
    <comment ref="C13" authorId="0">
      <text>
        <r>
          <rPr>
            <sz val="9"/>
            <color indexed="81"/>
            <rFont val="Tahoma"/>
            <family val="2"/>
          </rPr>
          <t>Info:
Source: Beck, 9/21/2015.</t>
        </r>
      </text>
    </comment>
    <comment ref="C14" authorId="0">
      <text>
        <r>
          <rPr>
            <sz val="9"/>
            <color indexed="81"/>
            <rFont val="Tahoma"/>
            <family val="2"/>
          </rPr>
          <t>Info:
Placeholder.  To be provided (CA, AZ, NV, UT is the addressable market)</t>
        </r>
      </text>
    </comment>
    <comment ref="C16" authorId="0">
      <text>
        <r>
          <rPr>
            <sz val="9"/>
            <color indexed="81"/>
            <rFont val="Tahoma"/>
            <family val="2"/>
          </rPr>
          <t>Info:
Placeholder.  Straightline growth isn't likely given historical trend.</t>
        </r>
      </text>
    </comment>
    <comment ref="C19" authorId="0">
      <text>
        <r>
          <rPr>
            <sz val="9"/>
            <color indexed="81"/>
            <rFont val="Tahoma"/>
            <family val="2"/>
          </rPr>
          <t>Info:
Source:  Beck 9/21/2015
 (475MMSF @ 7200 operating hours per year)</t>
        </r>
      </text>
    </comment>
    <comment ref="C20" authorId="0">
      <text>
        <r>
          <rPr>
            <sz val="9"/>
            <color indexed="81"/>
            <rFont val="Tahoma"/>
            <family val="2"/>
          </rPr>
          <t>Info:
Source: Beck 
(50 wks 
x 6 days/week
x 24 hours/day)</t>
        </r>
      </text>
    </comment>
    <comment ref="C21" authorId="0">
      <text>
        <r>
          <rPr>
            <sz val="9"/>
            <color indexed="81"/>
            <rFont val="Tahoma"/>
            <family val="2"/>
          </rPr>
          <t>Info:
N/A for capacity in this model structure.  OT labor cost assumption is included below.</t>
        </r>
      </text>
    </comment>
    <comment ref="C32" authorId="0">
      <text>
        <r>
          <rPr>
            <sz val="9"/>
            <color indexed="81"/>
            <rFont val="Tahoma"/>
            <family val="2"/>
          </rPr>
          <t>Info:
Land Cost incuded in Cap Ex estimate</t>
        </r>
      </text>
    </comment>
    <comment ref="C34" authorId="0">
      <text>
        <r>
          <rPr>
            <sz val="9"/>
            <color indexed="81"/>
            <rFont val="Tahoma"/>
            <family val="2"/>
          </rPr>
          <t>Info:
These costs are included in Cap Ex estimate</t>
        </r>
      </text>
    </comment>
    <comment ref="C45" authorId="0">
      <text>
        <r>
          <rPr>
            <sz val="9"/>
            <color indexed="81"/>
            <rFont val="Tahoma"/>
            <family val="2"/>
          </rPr>
          <t>Info:
Source:  Beck (0.71 MSF produced per ton raw material)</t>
        </r>
      </text>
    </comment>
    <comment ref="C49" authorId="0">
      <text>
        <r>
          <rPr>
            <sz val="9"/>
            <color indexed="81"/>
            <rFont val="Tahoma"/>
            <family val="2"/>
          </rPr>
          <t>Info:
Source: Beck.</t>
        </r>
      </text>
    </comment>
    <comment ref="C50" authorId="0">
      <text>
        <r>
          <rPr>
            <sz val="9"/>
            <color indexed="81"/>
            <rFont val="Tahoma"/>
            <family val="2"/>
          </rPr>
          <t>Info:
Source: Beck.</t>
        </r>
      </text>
    </comment>
    <comment ref="C55" authorId="0">
      <text>
        <r>
          <rPr>
            <sz val="9"/>
            <color indexed="81"/>
            <rFont val="Tahoma"/>
            <family val="2"/>
          </rPr>
          <t xml:space="preserve">Info:
Source: Beck, 9/21/2015.
</t>
        </r>
      </text>
    </comment>
    <comment ref="C57" authorId="0">
      <text>
        <r>
          <rPr>
            <sz val="9"/>
            <color indexed="81"/>
            <rFont val="Tahoma"/>
            <family val="2"/>
          </rPr>
          <t>Info:
Source: Beck, 9/28/2015.
This is low relative to the other technologies because a higher percentage of the salaried staff are lower level clerical and administrative type positions</t>
        </r>
      </text>
    </comment>
    <comment ref="C59" authorId="0">
      <text>
        <r>
          <rPr>
            <sz val="9"/>
            <color indexed="81"/>
            <rFont val="Tahoma"/>
            <family val="2"/>
          </rPr>
          <t>Info:
Source: Beck.
Hourly Manning:
Wood Yard                       14
Flaking, Drying &amp; Pressing    29
Finishing &amp; Shipping           28
Heat &amp; Energy                    3
Technical Services &amp; QA       3
Maintenance                     36
Other                                6
Total                             118</t>
        </r>
      </text>
    </comment>
    <comment ref="C60" authorId="0">
      <text>
        <r>
          <rPr>
            <sz val="9"/>
            <color indexed="81"/>
            <rFont val="Tahoma"/>
            <family val="2"/>
          </rPr>
          <t>Info:
Source: Beck. 9/28/2015
In the U.S. South, OSB plants had an average hourly wage rate 21% higher than sawmill wage rates.  Therefore, we adjusted the average Western U.S. sawmill rate up by 21%</t>
        </r>
      </text>
    </comment>
    <comment ref="C61" authorId="0">
      <text>
        <r>
          <rPr>
            <sz val="9"/>
            <color indexed="81"/>
            <rFont val="Tahoma"/>
            <family val="2"/>
          </rPr>
          <t>Info:
Source: Beck. 9/28/2015
In the U.S. South, OSB plants had an average hourly wage rate 21% higher than sawmill wage rates.  Therefore, we adjusted the average Western U.S. sawmill rate up by 21%</t>
        </r>
      </text>
    </comment>
    <comment ref="C62" authorId="0">
      <text>
        <r>
          <rPr>
            <sz val="9"/>
            <color indexed="81"/>
            <rFont val="Tahoma"/>
            <family val="2"/>
          </rPr>
          <t>Info:
Estimate used to back into total Beck-provided labor cost of $9,214,560)</t>
        </r>
      </text>
    </comment>
    <comment ref="C63" authorId="0">
      <text>
        <r>
          <rPr>
            <sz val="9"/>
            <color indexed="81"/>
            <rFont val="Tahoma"/>
            <family val="2"/>
          </rPr>
          <t>Info:
Source: Beck.</t>
        </r>
      </text>
    </comment>
    <comment ref="C64" authorId="0">
      <text>
        <r>
          <rPr>
            <sz val="9"/>
            <color indexed="81"/>
            <rFont val="Tahoma"/>
            <family val="2"/>
          </rPr>
          <t>Info:
Assumption this is not otherwise covered in the % of OT hours.</t>
        </r>
      </text>
    </comment>
    <comment ref="C68" authorId="0">
      <text>
        <r>
          <rPr>
            <sz val="9"/>
            <color indexed="81"/>
            <rFont val="Tahoma"/>
            <family val="2"/>
          </rPr>
          <t>Info:
Source: Beck.</t>
        </r>
      </text>
    </comment>
    <comment ref="C69" authorId="0">
      <text>
        <r>
          <rPr>
            <sz val="9"/>
            <color indexed="81"/>
            <rFont val="Tahoma"/>
            <family val="2"/>
          </rPr>
          <t>Info:
Source: Beck.</t>
        </r>
      </text>
    </comment>
    <comment ref="C70" authorId="0">
      <text>
        <r>
          <rPr>
            <sz val="9"/>
            <color indexed="81"/>
            <rFont val="Tahoma"/>
            <family val="2"/>
          </rPr>
          <t>Info:
Source: Beck.</t>
        </r>
      </text>
    </comment>
    <comment ref="C71" authorId="0">
      <text>
        <r>
          <rPr>
            <sz val="9"/>
            <color indexed="81"/>
            <rFont val="Tahoma"/>
            <family val="2"/>
          </rPr>
          <t>Info:
Source: Beck.</t>
        </r>
      </text>
    </comment>
    <comment ref="C75" authorId="0">
      <text>
        <r>
          <rPr>
            <sz val="9"/>
            <color indexed="81"/>
            <rFont val="Tahoma"/>
            <family val="2"/>
          </rPr>
          <t>Info:
Source: Beck.</t>
        </r>
      </text>
    </comment>
    <comment ref="E79" authorId="1">
      <text>
        <r>
          <rPr>
            <sz val="9"/>
            <color indexed="81"/>
            <rFont val="Tahoma"/>
            <family val="2"/>
          </rPr>
          <t>Info:
This is the NPV of the Operating Cash Flow streams including a teminal value multiplier assumption.  
Caution:
This model does not consider taxation, depreciation or other considerations that may have a material impact on the financial value of the project.   As a result, this NPV value should only be considered as a comparative value vs. the other business concepts in this workbook.</t>
        </r>
      </text>
    </comment>
  </commentList>
</comments>
</file>

<file path=xl/comments4.xml><?xml version="1.0" encoding="utf-8"?>
<comments xmlns="http://schemas.openxmlformats.org/spreadsheetml/2006/main">
  <authors>
    <author>Fido</author>
    <author>Kyle</author>
    <author>Info</author>
  </authors>
  <commentList>
    <comment ref="C12" authorId="0">
      <text>
        <r>
          <rPr>
            <sz val="9"/>
            <color indexed="81"/>
            <rFont val="Tahoma"/>
            <family val="2"/>
          </rPr>
          <t>Info:
Source:  FP Innovations forecast based on 5% of US market of relevant building projects.</t>
        </r>
      </text>
    </comment>
    <comment ref="C13" authorId="0">
      <text>
        <r>
          <rPr>
            <sz val="9"/>
            <color indexed="81"/>
            <rFont val="Tahoma"/>
            <family val="2"/>
          </rPr>
          <t>Info:
Source:  Beck (900MMBF is approx 41MMft3 of CLT production)</t>
        </r>
      </text>
    </comment>
    <comment ref="C19" authorId="0">
      <text>
        <r>
          <rPr>
            <sz val="9"/>
            <color indexed="81"/>
            <rFont val="Tahoma"/>
            <family val="2"/>
          </rPr>
          <t>Info:
Source:  Beck (2.2 Mft3 per year @ 2184 annual operating hours)</t>
        </r>
      </text>
    </comment>
    <comment ref="C20" authorId="1">
      <text>
        <r>
          <rPr>
            <sz val="9"/>
            <color indexed="81"/>
            <rFont val="Tahoma"/>
            <family val="2"/>
          </rPr>
          <t>Info:
Source:  Beck, 9/21/2015 (two shifts)</t>
        </r>
      </text>
    </comment>
    <comment ref="C26" authorId="0">
      <text>
        <r>
          <rPr>
            <sz val="9"/>
            <color indexed="81"/>
            <rFont val="Tahoma"/>
            <family val="2"/>
          </rPr>
          <t xml:space="preserve">Info:
Beck research indicates raw material will be sourced from sawmills.
</t>
        </r>
      </text>
    </comment>
    <comment ref="C32" authorId="1">
      <text>
        <r>
          <rPr>
            <sz val="9"/>
            <color indexed="81"/>
            <rFont val="Tahoma"/>
            <family val="2"/>
          </rPr>
          <t>Info:
Source:  Beck, 9/21/2015</t>
        </r>
      </text>
    </comment>
    <comment ref="C40" authorId="1">
      <text>
        <r>
          <rPr>
            <sz val="9"/>
            <color indexed="81"/>
            <rFont val="Tahoma"/>
            <family val="2"/>
          </rPr>
          <t>Info:
Source: Beck 9/22/2015
12-18 months</t>
        </r>
      </text>
    </comment>
    <comment ref="C46" authorId="0">
      <text>
        <r>
          <rPr>
            <sz val="9"/>
            <color indexed="81"/>
            <rFont val="Tahoma"/>
            <family val="2"/>
          </rPr>
          <t>Info:
Source:  Beck, 9/21/2015.</t>
        </r>
      </text>
    </comment>
    <comment ref="C47" authorId="0">
      <text>
        <r>
          <rPr>
            <sz val="9"/>
            <color indexed="81"/>
            <rFont val="Tahoma"/>
            <family val="2"/>
          </rPr>
          <t>Info:
Source: Beck, 9/21/2015.
$330 for Douglas fir lumber (long term average price) + $25 additional drying costs</t>
        </r>
      </text>
    </comment>
    <comment ref="C50" authorId="0">
      <text>
        <r>
          <rPr>
            <sz val="9"/>
            <color indexed="81"/>
            <rFont val="Tahoma"/>
            <family val="2"/>
          </rPr>
          <t>Info:
Source: Beck.</t>
        </r>
      </text>
    </comment>
    <comment ref="C51" authorId="0">
      <text>
        <r>
          <rPr>
            <sz val="9"/>
            <color indexed="81"/>
            <rFont val="Tahoma"/>
            <family val="2"/>
          </rPr>
          <t>Info:
Source: Beck.</t>
        </r>
      </text>
    </comment>
    <comment ref="C52" authorId="0">
      <text>
        <r>
          <rPr>
            <sz val="9"/>
            <color indexed="81"/>
            <rFont val="Tahoma"/>
            <family val="2"/>
          </rPr>
          <t>Info:
Source: Beck.</t>
        </r>
      </text>
    </comment>
    <comment ref="C57" authorId="0">
      <text>
        <r>
          <rPr>
            <sz val="9"/>
            <color indexed="81"/>
            <rFont val="Tahoma"/>
            <family val="2"/>
          </rPr>
          <t>Info:
Source: Beck.</t>
        </r>
      </text>
    </comment>
    <comment ref="C58" authorId="0">
      <text>
        <r>
          <rPr>
            <sz val="9"/>
            <color indexed="81"/>
            <rFont val="Tahoma"/>
            <family val="2"/>
          </rPr>
          <t>Info:
Source: Beck. 9/28/2015
This is high relative to the other technologies because a higher percentage of the salaried staff are higher paying engineers/designers</t>
        </r>
      </text>
    </comment>
    <comment ref="C60" authorId="0">
      <text>
        <r>
          <rPr>
            <sz val="9"/>
            <color indexed="81"/>
            <rFont val="Tahoma"/>
            <family val="2"/>
          </rPr>
          <t>Info:
Source: Beck, 9/21/2015.</t>
        </r>
      </text>
    </comment>
    <comment ref="C62" authorId="0">
      <text>
        <r>
          <rPr>
            <sz val="9"/>
            <color indexed="81"/>
            <rFont val="Tahoma"/>
            <family val="2"/>
          </rPr>
          <t>Info:
Source: Beck.</t>
        </r>
      </text>
    </comment>
    <comment ref="C63" authorId="0">
      <text>
        <r>
          <rPr>
            <sz val="9"/>
            <color indexed="81"/>
            <rFont val="Tahoma"/>
            <family val="2"/>
          </rPr>
          <t>Info:
Source: Beck.</t>
        </r>
      </text>
    </comment>
    <comment ref="C64" authorId="0">
      <text>
        <r>
          <rPr>
            <sz val="9"/>
            <color indexed="81"/>
            <rFont val="Tahoma"/>
            <family val="2"/>
          </rPr>
          <t>Info:
Assumption this is not otherwise covered in the % of OT hours.</t>
        </r>
      </text>
    </comment>
    <comment ref="C69" authorId="0">
      <text>
        <r>
          <rPr>
            <sz val="9"/>
            <color indexed="81"/>
            <rFont val="Tahoma"/>
            <family val="2"/>
          </rPr>
          <t>Info:
Source: Beck, 9/21/2015.
$400k/year</t>
        </r>
      </text>
    </comment>
    <comment ref="C70" authorId="0">
      <text>
        <r>
          <rPr>
            <sz val="9"/>
            <color indexed="81"/>
            <rFont val="Tahoma"/>
            <family val="2"/>
          </rPr>
          <t>Info:
Source: Beck.
M&amp;R costs of $350k/year</t>
        </r>
      </text>
    </comment>
    <comment ref="C71" authorId="0">
      <text>
        <r>
          <rPr>
            <sz val="9"/>
            <color indexed="81"/>
            <rFont val="Tahoma"/>
            <family val="2"/>
          </rPr>
          <t xml:space="preserve">Info:
Source: Beck, 9/21/2015.
</t>
        </r>
      </text>
    </comment>
    <comment ref="C75" authorId="0">
      <text>
        <r>
          <rPr>
            <sz val="9"/>
            <color indexed="81"/>
            <rFont val="Tahoma"/>
            <family val="2"/>
          </rPr>
          <t>Info:
Source: Beck.</t>
        </r>
      </text>
    </comment>
    <comment ref="E76" authorId="2">
      <text>
        <r>
          <rPr>
            <sz val="9"/>
            <color indexed="81"/>
            <rFont val="Tahoma"/>
            <family val="2"/>
          </rPr>
          <t>Info:
This is the NPV of the Operating Cash Flow streams including a teminal value multiplier assumption.  
Caution:
This model does not consider taxation, depreciation or other considerations that may have a material impact on the financial value of the project.   As a result, this NPV value should only be considered as a comparative value vs. the other business concepts in this workbook.</t>
        </r>
      </text>
    </comment>
  </commentList>
</comments>
</file>

<file path=xl/comments5.xml><?xml version="1.0" encoding="utf-8"?>
<comments xmlns="http://schemas.openxmlformats.org/spreadsheetml/2006/main">
  <authors>
    <author>Fido</author>
    <author>Info</author>
  </authors>
  <commentList>
    <comment ref="D13" authorId="0">
      <text>
        <r>
          <rPr>
            <sz val="9"/>
            <color indexed="81"/>
            <rFont val="Tahoma"/>
            <family val="2"/>
          </rPr>
          <t>Info:
Source: Beck.</t>
        </r>
      </text>
    </comment>
    <comment ref="D14" authorId="0">
      <text>
        <r>
          <rPr>
            <sz val="9"/>
            <color indexed="81"/>
            <rFont val="Tahoma"/>
            <family val="2"/>
          </rPr>
          <t>Info:
Source: Beck.</t>
        </r>
      </text>
    </comment>
    <comment ref="D15" authorId="0">
      <text>
        <r>
          <rPr>
            <sz val="9"/>
            <color indexed="81"/>
            <rFont val="Tahoma"/>
            <family val="2"/>
          </rPr>
          <t>Info:
Source: Beck.</t>
        </r>
      </text>
    </comment>
    <comment ref="B16" authorId="0">
      <text>
        <r>
          <rPr>
            <sz val="9"/>
            <color indexed="81"/>
            <rFont val="Tahoma"/>
            <family val="2"/>
          </rPr>
          <t>Info:
Material currently sourced from WA and BC could be sourced from Northern CA at a lower freight cost.</t>
        </r>
      </text>
    </comment>
    <comment ref="D17" authorId="0">
      <text>
        <r>
          <rPr>
            <sz val="9"/>
            <color indexed="81"/>
            <rFont val="Tahoma"/>
            <family val="2"/>
          </rPr>
          <t>Info:
Placeholder.  Per Beck, market growth is expected.</t>
        </r>
      </text>
    </comment>
    <comment ref="D20" authorId="0">
      <text>
        <r>
          <rPr>
            <sz val="9"/>
            <color indexed="81"/>
            <rFont val="Tahoma"/>
            <family val="2"/>
          </rPr>
          <t>Info:
Backed into this value to yield annual output of 170,000 M3/8.</t>
        </r>
      </text>
    </comment>
    <comment ref="D21" authorId="0">
      <text>
        <r>
          <rPr>
            <sz val="9"/>
            <color indexed="81"/>
            <rFont val="Tahoma"/>
            <family val="2"/>
          </rPr>
          <t>Info:
Source: Beck 
(2 shift operation - 80 hrs/week)</t>
        </r>
      </text>
    </comment>
    <comment ref="D22" authorId="0">
      <text>
        <r>
          <rPr>
            <sz val="9"/>
            <color indexed="81"/>
            <rFont val="Tahoma"/>
            <family val="2"/>
          </rPr>
          <t>Info:
N/A for capacity in this model structure.  OT labor cost assumption is included below.</t>
        </r>
      </text>
    </comment>
    <comment ref="D28" authorId="1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Source:  Beck.</t>
        </r>
      </text>
    </comment>
    <comment ref="D32" authorId="0">
      <text>
        <r>
          <rPr>
            <sz val="9"/>
            <color indexed="81"/>
            <rFont val="Tahoma"/>
            <family val="2"/>
          </rPr>
          <t>Info:
Beck estmate of total Capital Costs less 20 acres at $100k/acre and $3M in soft costs)</t>
        </r>
      </text>
    </comment>
    <comment ref="D33" authorId="0">
      <text>
        <r>
          <rPr>
            <sz val="9"/>
            <color indexed="81"/>
            <rFont val="Tahoma"/>
            <family val="2"/>
          </rPr>
          <t>Info:
N/A (single CapEx assumption shown above)</t>
        </r>
      </text>
    </comment>
    <comment ref="D34" authorId="0">
      <text>
        <r>
          <rPr>
            <sz val="9"/>
            <color indexed="81"/>
            <rFont val="Tahoma"/>
            <family val="2"/>
          </rPr>
          <t>Info:
N/A (single CapEx assumption shown above)</t>
        </r>
      </text>
    </comment>
    <comment ref="D47" authorId="0">
      <text>
        <r>
          <rPr>
            <sz val="9"/>
            <color indexed="81"/>
            <rFont val="Tahoma"/>
            <family val="2"/>
          </rPr>
          <t>Info:
Source: Beck.</t>
        </r>
      </text>
    </comment>
    <comment ref="D57" authorId="0">
      <text>
        <r>
          <rPr>
            <sz val="9"/>
            <color indexed="81"/>
            <rFont val="Tahoma"/>
            <family val="2"/>
          </rPr>
          <t xml:space="preserve">Info:
Source: Beck.
Management + Supervision     4
Sales                                           2
Administrative                            8
</t>
        </r>
      </text>
    </comment>
    <comment ref="D58" authorId="0">
      <text>
        <r>
          <rPr>
            <sz val="9"/>
            <color indexed="81"/>
            <rFont val="Tahoma"/>
            <family val="2"/>
          </rPr>
          <t xml:space="preserve">Info:
Source:  Beck.  9/28/2015
We used 2012 western plywood benchmarking data to estimate this.  Adjusted the plywood average down slightly since Veneer is a simpler less capital intensive process than plywood
</t>
        </r>
      </text>
    </comment>
    <comment ref="D61" authorId="0">
      <text>
        <r>
          <rPr>
            <sz val="9"/>
            <color indexed="81"/>
            <rFont val="Tahoma"/>
            <family val="2"/>
          </rPr>
          <t>Info:
Source: Beck. 9/28/2015
Made slight adjustment from 2012 plywood benchmarking study that had many Southern Oregon mills</t>
        </r>
      </text>
    </comment>
    <comment ref="D62" authorId="0">
      <text>
        <r>
          <rPr>
            <sz val="9"/>
            <color indexed="81"/>
            <rFont val="Tahoma"/>
            <family val="2"/>
          </rPr>
          <t>Info:
Source: Beck. 9/28/2015
Made slight adjustment from 2012 plywood benchmarking study that had many Southern Oregon mills</t>
        </r>
      </text>
    </comment>
    <comment ref="D63" authorId="0">
      <text>
        <r>
          <rPr>
            <sz val="9"/>
            <color indexed="81"/>
            <rFont val="Tahoma"/>
            <family val="2"/>
          </rPr>
          <t>Info:
Estimate used to back into total Beck-provided labor cost of $9,214,560)</t>
        </r>
      </text>
    </comment>
    <comment ref="D64" authorId="0">
      <text>
        <r>
          <rPr>
            <sz val="9"/>
            <color indexed="81"/>
            <rFont val="Tahoma"/>
            <family val="2"/>
          </rPr>
          <t>Info:
Source: Beck.</t>
        </r>
      </text>
    </comment>
    <comment ref="D65" authorId="0">
      <text>
        <r>
          <rPr>
            <sz val="9"/>
            <color indexed="81"/>
            <rFont val="Tahoma"/>
            <family val="2"/>
          </rPr>
          <t>Info:
Assumption this is not otherwise covered in the % of OT hours.</t>
        </r>
      </text>
    </comment>
    <comment ref="D70" authorId="0">
      <text>
        <r>
          <rPr>
            <sz val="9"/>
            <color indexed="81"/>
            <rFont val="Tahoma"/>
            <family val="2"/>
          </rPr>
          <t>Info:
Source: Beck.</t>
        </r>
      </text>
    </comment>
    <comment ref="D71" authorId="0">
      <text>
        <r>
          <rPr>
            <sz val="9"/>
            <color indexed="81"/>
            <rFont val="Tahoma"/>
            <family val="2"/>
          </rPr>
          <t>Info:
Source: Beck.</t>
        </r>
      </text>
    </comment>
    <comment ref="D72" authorId="0">
      <text>
        <r>
          <rPr>
            <sz val="9"/>
            <color indexed="81"/>
            <rFont val="Tahoma"/>
            <family val="2"/>
          </rPr>
          <t xml:space="preserve">Info:
Source: Beck.  </t>
        </r>
      </text>
    </comment>
    <comment ref="D73" authorId="0">
      <text>
        <r>
          <rPr>
            <sz val="9"/>
            <color indexed="81"/>
            <rFont val="Tahoma"/>
            <family val="2"/>
          </rPr>
          <t>Info:
Source: Beck - excludes salaries</t>
        </r>
      </text>
    </comment>
    <comment ref="D74" authorId="0">
      <text>
        <r>
          <rPr>
            <sz val="9"/>
            <color indexed="81"/>
            <rFont val="Tahoma"/>
            <family val="2"/>
          </rPr>
          <t xml:space="preserve">Info:
Source: Beck. </t>
        </r>
      </text>
    </comment>
    <comment ref="D75" authorId="0">
      <text>
        <r>
          <rPr>
            <sz val="9"/>
            <color indexed="81"/>
            <rFont val="Tahoma"/>
            <family val="2"/>
          </rPr>
          <t>Info:
Source: Beck.</t>
        </r>
      </text>
    </comment>
    <comment ref="D80" authorId="0">
      <text>
        <r>
          <rPr>
            <sz val="9"/>
            <color indexed="81"/>
            <rFont val="Tahoma"/>
            <family val="2"/>
          </rPr>
          <t>Info:
Source: Beck.</t>
        </r>
      </text>
    </comment>
    <comment ref="F80" authorId="1">
      <text>
        <r>
          <rPr>
            <sz val="9"/>
            <color indexed="81"/>
            <rFont val="Tahoma"/>
            <family val="2"/>
          </rPr>
          <t>Info:
This is the NPV of the Operating Cash Flow streams including a teminal value multiplier assumption.  
Caution:
This model does not consider taxation, depreciation or other considerations that may have a material impact on the financial value of the project.   As a result, this NPV value should only be considered as a comparative value vs. the other business concepts in this workbook.</t>
        </r>
      </text>
    </comment>
    <comment ref="D81" authorId="0">
      <text>
        <r>
          <rPr>
            <sz val="9"/>
            <color indexed="81"/>
            <rFont val="Tahoma"/>
            <family val="2"/>
          </rPr>
          <t>Info:
Source: Beck.</t>
        </r>
      </text>
    </comment>
    <comment ref="D82" authorId="0">
      <text>
        <r>
          <rPr>
            <sz val="9"/>
            <color indexed="81"/>
            <rFont val="Tahoma"/>
            <family val="2"/>
          </rPr>
          <t>Info:
Source: Beck.</t>
        </r>
      </text>
    </comment>
    <comment ref="D85" authorId="0">
      <text>
        <r>
          <rPr>
            <sz val="9"/>
            <color indexed="81"/>
            <rFont val="Tahoma"/>
            <family val="2"/>
          </rPr>
          <t>Info:
Source: Beck.</t>
        </r>
      </text>
    </comment>
  </commentList>
</comments>
</file>

<file path=xl/comments6.xml><?xml version="1.0" encoding="utf-8"?>
<comments xmlns="http://schemas.openxmlformats.org/spreadsheetml/2006/main">
  <authors>
    <author>Kyle</author>
  </authors>
  <commentList>
    <comment ref="A7" authorId="0">
      <text>
        <r>
          <rPr>
            <sz val="9"/>
            <color indexed="81"/>
            <rFont val="Tahoma"/>
            <family val="2"/>
          </rPr>
          <t>Info:
These values are used as the data labels for financial calculations as well as values in drop-down lists for various input cells.</t>
        </r>
      </text>
    </comment>
    <comment ref="A20" authorId="0">
      <text>
        <r>
          <rPr>
            <sz val="9"/>
            <color indexed="81"/>
            <rFont val="Tahoma"/>
            <family val="2"/>
          </rPr>
          <t xml:space="preserve">Info:
This is multiplied by Year 10 Operating Cash Flow to estimate lifetime revenue streams from the project.
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Info:
Interest rate used in NPV calculations.
</t>
        </r>
      </text>
    </comment>
  </commentList>
</comments>
</file>

<file path=xl/sharedStrings.xml><?xml version="1.0" encoding="utf-8"?>
<sst xmlns="http://schemas.openxmlformats.org/spreadsheetml/2006/main" count="660" uniqueCount="330">
  <si>
    <t>National Forest Foundation</t>
  </si>
  <si>
    <t>California Assessment of Wood Business Innovation Opportunities and Markets</t>
  </si>
  <si>
    <t>High-Level Feasibility Model</t>
  </si>
  <si>
    <t>Inputs</t>
  </si>
  <si>
    <t>Year 1</t>
  </si>
  <si>
    <t>Results</t>
  </si>
  <si>
    <t>Cross Laminated Timber</t>
  </si>
  <si>
    <t>Market Assumptions</t>
  </si>
  <si>
    <t>Total Addressable Market</t>
  </si>
  <si>
    <t>Model Years</t>
  </si>
  <si>
    <t>Year 2</t>
  </si>
  <si>
    <t>Year 4</t>
  </si>
  <si>
    <t>Year 3</t>
  </si>
  <si>
    <t>Year 5</t>
  </si>
  <si>
    <t>Startup Costs</t>
  </si>
  <si>
    <t>Capital Expenditures</t>
  </si>
  <si>
    <t>Plant Operations Commence in</t>
  </si>
  <si>
    <t>Year 1 Capacity (% of Full Year)</t>
  </si>
  <si>
    <t>Construction Duration</t>
  </si>
  <si>
    <t>Plant Capacity</t>
  </si>
  <si>
    <t>Hourly Production Capacity</t>
  </si>
  <si>
    <t>When revenue generation begins</t>
  </si>
  <si>
    <t>Factor for mid-year opening</t>
  </si>
  <si>
    <t>Revenues</t>
  </si>
  <si>
    <t>Expenses</t>
  </si>
  <si>
    <t>Total Expenses</t>
  </si>
  <si>
    <t>Operating Income (Loss)</t>
  </si>
  <si>
    <t>Total Startup Costs</t>
  </si>
  <si>
    <t>Construction Begins In</t>
  </si>
  <si>
    <t>Construction Months</t>
  </si>
  <si>
    <t>Annual Capital Expenditures</t>
  </si>
  <si>
    <t>Operating Cash Flow</t>
  </si>
  <si>
    <t>Annual</t>
  </si>
  <si>
    <t>Cumulative</t>
  </si>
  <si>
    <t>Cash Flow Calculations</t>
  </si>
  <si>
    <t>Definitions</t>
  </si>
  <si>
    <t>Year 6</t>
  </si>
  <si>
    <t>Year 7</t>
  </si>
  <si>
    <t>Year 8</t>
  </si>
  <si>
    <t>Year 9</t>
  </si>
  <si>
    <t>Year 10</t>
  </si>
  <si>
    <t>Market Segment: Oriented Strand Board (OSB)</t>
  </si>
  <si>
    <t>Summary Dashboard</t>
  </si>
  <si>
    <t>Oriented Strand Board</t>
  </si>
  <si>
    <t>Note:  Enter assumptions in shaded cells below.</t>
  </si>
  <si>
    <t>Market Segment: Cross Laminated Timber (CLT)</t>
  </si>
  <si>
    <t>3MW power plant with ancillary heat production</t>
  </si>
  <si>
    <t>Other Capital Requirements</t>
  </si>
  <si>
    <t>Soft Costs (design, permitting, etc.); Recruiting, PR, etc.</t>
  </si>
  <si>
    <t>Electricity</t>
  </si>
  <si>
    <t>Steam</t>
  </si>
  <si>
    <t>Assumption</t>
  </si>
  <si>
    <t>Input values in shaded cells.</t>
  </si>
  <si>
    <t>Stand-Alone (Electricity Only)</t>
  </si>
  <si>
    <t>Steam-Consuming Colocation</t>
  </si>
  <si>
    <t>Land Cost per Acre</t>
  </si>
  <si>
    <t>Includes acquisition and prep costs</t>
  </si>
  <si>
    <t>Total Land Cost</t>
  </si>
  <si>
    <t>Controls timing of startup costs and revenue generation</t>
  </si>
  <si>
    <t>Average Annual Heat Output</t>
  </si>
  <si>
    <t>Forest Yield</t>
  </si>
  <si>
    <t>Fuel Consumption</t>
  </si>
  <si>
    <t>Development Timeline</t>
  </si>
  <si>
    <t>Pct of Fuel from CA Forest</t>
  </si>
  <si>
    <t>Plant Operating Costs</t>
  </si>
  <si>
    <t>Labor</t>
  </si>
  <si>
    <t>Fuel</t>
  </si>
  <si>
    <t>Other</t>
  </si>
  <si>
    <t>Routine Maintenance</t>
  </si>
  <si>
    <t>Major Maintenance</t>
  </si>
  <si>
    <t>Environmental Costs</t>
  </si>
  <si>
    <t>G&amp;A</t>
  </si>
  <si>
    <t>CA Forest Products</t>
  </si>
  <si>
    <t>Other Sources</t>
  </si>
  <si>
    <t>cost per ton - FOB plant</t>
  </si>
  <si>
    <t>Blended Fuel Cost</t>
  </si>
  <si>
    <t>Total Staff</t>
  </si>
  <si>
    <t>Annual number of staff in FTE</t>
  </si>
  <si>
    <t>Average Salary</t>
  </si>
  <si>
    <t>Employee Benefits</t>
  </si>
  <si>
    <t>Percent of base salary</t>
  </si>
  <si>
    <t>Average of all staff</t>
  </si>
  <si>
    <t>in $ per kWh (is this rate set by CA SB1122?)</t>
  </si>
  <si>
    <t>in $ per Mpph (million pounds per hour)</t>
  </si>
  <si>
    <t>Steam to Heat Conversion</t>
  </si>
  <si>
    <t>BTU per pph</t>
  </si>
  <si>
    <t>Heat</t>
  </si>
  <si>
    <t>Annual Operating Hours</t>
  </si>
  <si>
    <t>Annual Operating Uptime</t>
  </si>
  <si>
    <t>Annual Labor Cost</t>
  </si>
  <si>
    <t>Labor Costs</t>
  </si>
  <si>
    <t>Other Consumables</t>
  </si>
  <si>
    <t>Other Consumables Cost</t>
  </si>
  <si>
    <t>cost per ton of Fuel consumed</t>
  </si>
  <si>
    <t>Maintenance</t>
  </si>
  <si>
    <t>Environmental, G &amp; A</t>
  </si>
  <si>
    <t>Total Revenues</t>
  </si>
  <si>
    <t>Base Case</t>
  </si>
  <si>
    <t>Year Base Case Market Reached</t>
  </si>
  <si>
    <t>Calendar year when base case market size is reached.</t>
  </si>
  <si>
    <t>Total US Market</t>
  </si>
  <si>
    <t>Share of US market proposed plant could service</t>
  </si>
  <si>
    <t>MBF-to-Mft3</t>
  </si>
  <si>
    <t>Operating Hours Per Year</t>
  </si>
  <si>
    <t>Base Operating Hours per Year</t>
  </si>
  <si>
    <t>Annual Overtime Operation</t>
  </si>
  <si>
    <t>As % of Base Hours</t>
  </si>
  <si>
    <t>Cubic feet of finished product per plant operating hour</t>
  </si>
  <si>
    <t>Lumber</t>
  </si>
  <si>
    <t>Glue</t>
  </si>
  <si>
    <t>Utilities</t>
  </si>
  <si>
    <t>Packaging</t>
  </si>
  <si>
    <t>Salaried Employees</t>
  </si>
  <si>
    <t>Hourly Employees</t>
  </si>
  <si>
    <t>Average Hourly Wage</t>
  </si>
  <si>
    <t>Average of wage per hour worked</t>
  </si>
  <si>
    <t>Total Annual Salaries</t>
  </si>
  <si>
    <t>Average Overtime Hours</t>
  </si>
  <si>
    <t>As a percentage, assuming 40-hour base work week.</t>
  </si>
  <si>
    <t>Overtime Pay Multiple</t>
  </si>
  <si>
    <t>Times base rate earned for OT hours</t>
  </si>
  <si>
    <t>Number of employees</t>
  </si>
  <si>
    <t>Total Hourly Labor</t>
  </si>
  <si>
    <t>Supplies</t>
  </si>
  <si>
    <t>Per operating hour</t>
  </si>
  <si>
    <t>Repairs and Maintenance Costs</t>
  </si>
  <si>
    <t>Administrative and Other Costs</t>
  </si>
  <si>
    <t>Fixed annual cost</t>
  </si>
  <si>
    <t>Total Annual Other Costs</t>
  </si>
  <si>
    <t>CLT Panel Sales</t>
  </si>
  <si>
    <t>Hourly Lumber Consumption</t>
  </si>
  <si>
    <t>Market Segment: Small Scale Co-Gen</t>
  </si>
  <si>
    <t>Annual Output</t>
  </si>
  <si>
    <t>Cost per ft3 of finished product produced</t>
  </si>
  <si>
    <t>Cost per 1,000 board-feet of source material consumed</t>
  </si>
  <si>
    <t>Raw Materials</t>
  </si>
  <si>
    <t>Other COGS</t>
  </si>
  <si>
    <t>Total Other COGS</t>
  </si>
  <si>
    <t>Annual Raw Materials Cost</t>
  </si>
  <si>
    <t>Annual Other COGS</t>
  </si>
  <si>
    <t>Variable Costs</t>
  </si>
  <si>
    <t>Hourly Labor</t>
  </si>
  <si>
    <t>Repairs and Maintenance</t>
  </si>
  <si>
    <t>Total Variable Costs</t>
  </si>
  <si>
    <t>Other Expenses</t>
  </si>
  <si>
    <t>Salaries</t>
  </si>
  <si>
    <t>Administrative and Other Expense</t>
  </si>
  <si>
    <t>Total Other Expenses</t>
  </si>
  <si>
    <t>US Pacific/Southwest Market Size</t>
  </si>
  <si>
    <t>Material Produced</t>
  </si>
  <si>
    <t>Implied Market Share</t>
  </si>
  <si>
    <t>Note2:  All board foot asumptions and calculations are based on 3/8" panel thickness.</t>
  </si>
  <si>
    <t>CAWBIOM Share of US Market</t>
  </si>
  <si>
    <t>Thousands of sq ft (MSF) per hour</t>
  </si>
  <si>
    <t>Total in millions of square feet (MMSF)</t>
  </si>
  <si>
    <t>Resin</t>
  </si>
  <si>
    <t>Wax and Other Chemicals</t>
  </si>
  <si>
    <t>O&amp;M Supplies</t>
  </si>
  <si>
    <t>Percent of base wage</t>
  </si>
  <si>
    <t>Base Hours per Year</t>
  </si>
  <si>
    <t>Hours Worked per Employee</t>
  </si>
  <si>
    <t>Per MSF</t>
  </si>
  <si>
    <t>Contracted Services</t>
  </si>
  <si>
    <t>OSB Board Sales</t>
  </si>
  <si>
    <t>Annual Market Growth</t>
  </si>
  <si>
    <t>Percentage change from previous your</t>
  </si>
  <si>
    <t>Material Produced in MMSF</t>
  </si>
  <si>
    <t>US Pacific/Southwest Market Size in MMSF</t>
  </si>
  <si>
    <t>In millions of square feet (MMSF)</t>
  </si>
  <si>
    <t>Break-Even Timing</t>
  </si>
  <si>
    <t>Years Before Breakeven Year</t>
  </si>
  <si>
    <t>Months to Breakeven in Breakeven Year</t>
  </si>
  <si>
    <t>Total Months to Breakeven</t>
  </si>
  <si>
    <t>Breakeven Calendar Year</t>
  </si>
  <si>
    <t>Payback Period in Months</t>
  </si>
  <si>
    <t>Payback Period in Years</t>
  </si>
  <si>
    <t>Total Capital Cost</t>
  </si>
  <si>
    <t>n/a</t>
  </si>
  <si>
    <t>Steady-State Annual Operating Cash Flow</t>
  </si>
  <si>
    <t>Board Feet to Cubic Feet Conversion</t>
  </si>
  <si>
    <t>Implied Market Capture</t>
  </si>
  <si>
    <t>Small-Scale 
Biomass</t>
  </si>
  <si>
    <t>Market Segment: Green Veneer</t>
  </si>
  <si>
    <t>Southern Oregon Veneer Demand</t>
  </si>
  <si>
    <t>Share of Veneer Imported</t>
  </si>
  <si>
    <t>Imported Veneer from N. California</t>
  </si>
  <si>
    <t>Veneer provided from locations farther than N. California</t>
  </si>
  <si>
    <t>Note2:  All square foot asumptions and calculations are based on 3/8" panel thickness.</t>
  </si>
  <si>
    <t>Total Production in M3/8</t>
  </si>
  <si>
    <t>Raw Material Cost per M3/8</t>
  </si>
  <si>
    <t>Sales Expenses</t>
  </si>
  <si>
    <t>G&amp;A Expenses</t>
  </si>
  <si>
    <t>Green Veneer Sales</t>
  </si>
  <si>
    <t>Share of Target Market</t>
  </si>
  <si>
    <t>Green Veneer</t>
  </si>
  <si>
    <t>Plant Scenario</t>
  </si>
  <si>
    <t>Notes/Comments</t>
  </si>
  <si>
    <t>Plant's Regional Share of US Market</t>
  </si>
  <si>
    <t>Share of US market that plant could competitively serve</t>
  </si>
  <si>
    <t>In millions of cubic feet</t>
  </si>
  <si>
    <t>Share of material from CA forests</t>
  </si>
  <si>
    <t>Logs</t>
  </si>
  <si>
    <t>Per M3/8 (FOB mill)</t>
  </si>
  <si>
    <t>Likely CLT plant would be built adjacent to a mill where product would be sourced</t>
  </si>
  <si>
    <t>Average of all staff (fully burdened)</t>
  </si>
  <si>
    <t>Revenues - Co-Location Business</t>
  </si>
  <si>
    <t>Revenue Per Year</t>
  </si>
  <si>
    <t>Co-Located Business Revenues</t>
  </si>
  <si>
    <t>Revenue Breakdown</t>
  </si>
  <si>
    <t>Co-Located Business Revenue</t>
  </si>
  <si>
    <t>Total</t>
  </si>
  <si>
    <t>Price (FOB Mill)</t>
  </si>
  <si>
    <t>Share of Output</t>
  </si>
  <si>
    <t>Veneer</t>
  </si>
  <si>
    <t>Douglas Fir</t>
  </si>
  <si>
    <t>Pine</t>
  </si>
  <si>
    <t>Veneer Total</t>
  </si>
  <si>
    <t>Peeler cores, chips and bark</t>
  </si>
  <si>
    <t>Total Revenue</t>
  </si>
  <si>
    <t>Net Electricity Output</t>
  </si>
  <si>
    <t>Annual Inflation - Electrical Sales</t>
  </si>
  <si>
    <t>Annual Inflation - Other Sales</t>
  </si>
  <si>
    <t>Also applies to operating costs</t>
  </si>
  <si>
    <t>Includes G&amp;A, Insurance and Property Taxes</t>
  </si>
  <si>
    <t>x</t>
  </si>
  <si>
    <t>(Add log to M3/8 conversion factor here)</t>
  </si>
  <si>
    <t>in MMBTU per hour</t>
  </si>
  <si>
    <t>in hours</t>
  </si>
  <si>
    <t>in Megawatts</t>
  </si>
  <si>
    <t>operating hours as a percentage of 24X365</t>
  </si>
  <si>
    <t>in tons</t>
  </si>
  <si>
    <t>in tons per Megawatt</t>
  </si>
  <si>
    <t>in tons per BTU per hour</t>
  </si>
  <si>
    <t>Fuel for Electricity Generation</t>
  </si>
  <si>
    <t>Fuel for Steam Generation</t>
  </si>
  <si>
    <t>Annual Fuel Per Year</t>
  </si>
  <si>
    <t>Land Required</t>
  </si>
  <si>
    <t>For plant and consumable materials storage - in acres</t>
  </si>
  <si>
    <t>in months</t>
  </si>
  <si>
    <t>in tons per thousand square feet (tons/MSF)</t>
  </si>
  <si>
    <t>Raw material cost per ton</t>
  </si>
  <si>
    <t>Cost perMSF of finished product produced</t>
  </si>
  <si>
    <t>in millions of board feet (MMBF)</t>
  </si>
  <si>
    <t>in millions of cubic feet (MMft3)</t>
  </si>
  <si>
    <t>in millions of cubic feet (MMft3) per year</t>
  </si>
  <si>
    <t>Construction, improvements, FFE</t>
  </si>
  <si>
    <t>in 1,000s of board-feet (MBF per hour)</t>
  </si>
  <si>
    <t>Veneer not sourced within Oregon in MMSF</t>
  </si>
  <si>
    <t>Veneer currently produced in CA and shipped to OR in MMSF</t>
  </si>
  <si>
    <t>in M3/8 per hour</t>
  </si>
  <si>
    <t>in acres for plant and consumable materials storage</t>
  </si>
  <si>
    <t>NPV Values</t>
  </si>
  <si>
    <t>Terminal Value Multiplier</t>
  </si>
  <si>
    <t>Hurdle Rate</t>
  </si>
  <si>
    <t>Annual Return on CapEx</t>
  </si>
  <si>
    <t>Simple Cash Flow NPV</t>
  </si>
  <si>
    <t>Green Veneer Recovery</t>
  </si>
  <si>
    <t>in M3/8 per MBF of logs</t>
  </si>
  <si>
    <t>Shown as Cost per MBF (for reference only)</t>
  </si>
  <si>
    <t>in dollars per MBF</t>
  </si>
  <si>
    <t>In dollars per ft3</t>
  </si>
  <si>
    <t>These values are utilized in all 4 business models.  Adjusting the value here will impact all concepts.</t>
  </si>
  <si>
    <t>Fiber (Logs, Strands)</t>
  </si>
  <si>
    <t>Plant Supervisor Salaries</t>
  </si>
  <si>
    <t>Per MSF (included in hourly labor)</t>
  </si>
  <si>
    <t xml:space="preserve">Base Case </t>
  </si>
  <si>
    <t>Sales +10%</t>
  </si>
  <si>
    <t>Sales - 10%</t>
  </si>
  <si>
    <t>Simple Payback</t>
  </si>
  <si>
    <t>Raw Material (Wood and Resin) - 10%</t>
  </si>
  <si>
    <t>Raw Material (Wood and Resin) + 10%</t>
  </si>
  <si>
    <t>Manufacturing Cost (Excluding Raw Materials) +10%</t>
  </si>
  <si>
    <t>Manufacturing Cost (Excluding Raw Materials) -10%</t>
  </si>
  <si>
    <t>Cap Ex +10%</t>
  </si>
  <si>
    <t>Cap Ex - 10%</t>
  </si>
  <si>
    <t>Annual Operating Income</t>
  </si>
  <si>
    <t>Byproducts</t>
  </si>
  <si>
    <t>Per Year</t>
  </si>
  <si>
    <t>White Wood</t>
  </si>
  <si>
    <t>Final Draft - December 31, 2015</t>
  </si>
  <si>
    <t>Co-located with heat-consuming facility such as an 80 MMBF per year sawmill</t>
  </si>
  <si>
    <t>Mill Yield</t>
  </si>
  <si>
    <t>COST/UNIT</t>
  </si>
  <si>
    <t>UNIT</t>
  </si>
  <si>
    <t>TOTAL</t>
  </si>
  <si>
    <t>ITEM</t>
  </si>
  <si>
    <t>Sawmills</t>
  </si>
  <si>
    <t>Need to verify sawmill cost</t>
  </si>
  <si>
    <t>CLT plants</t>
  </si>
  <si>
    <t>OSB plants</t>
  </si>
  <si>
    <t>Small-Scale Biomass (colocated)</t>
  </si>
  <si>
    <t>TOTAL COST</t>
  </si>
  <si>
    <t>Startup costs</t>
  </si>
  <si>
    <t>TOTAL OPERATING</t>
  </si>
  <si>
    <t>Annual Operating Costs</t>
  </si>
  <si>
    <t>TOTAL NPV (2026)</t>
  </si>
  <si>
    <t>Acres treated/yr</t>
  </si>
  <si>
    <t>5 years</t>
  </si>
  <si>
    <t>SEE NPV NOTE ABOVE--DOESN'T INCLUDE TAXES OR DEPRECIATION</t>
  </si>
  <si>
    <t>Fire prone acres</t>
  </si>
  <si>
    <t>Mechanical thinning acres (20%)</t>
  </si>
  <si>
    <t>Rx fire acres (80%)</t>
  </si>
  <si>
    <t>Mechanical cost</t>
  </si>
  <si>
    <t>Rx fire cost</t>
  </si>
  <si>
    <t>Mechanical costs/acre</t>
  </si>
  <si>
    <t>Rx fire costs/acre</t>
  </si>
  <si>
    <t>600,000=6 sawmills=$1200m</t>
  </si>
  <si>
    <t>180,000=60 biomass plants=$600m</t>
  </si>
  <si>
    <t>180,000=6 clt plants= $60m</t>
  </si>
  <si>
    <t>200,000=4 osb plants=$720m</t>
  </si>
  <si>
    <t>-----------------------------------------</t>
  </si>
  <si>
    <t>1.16 million acres/year    $2.580 B</t>
  </si>
  <si>
    <t>X5 years</t>
  </si>
  <si>
    <t>--------------------------------</t>
  </si>
  <si>
    <t>5.8 million acres</t>
  </si>
  <si>
    <t>Assumptions: (CA)</t>
  </si>
  <si>
    <t>Mechanical 20%=4 million acres= $4.4 B</t>
  </si>
  <si>
    <t>Rx 80%= 16 m acres= $8 B</t>
  </si>
  <si>
    <t>Potential avoided cost # or just a profit #?</t>
  </si>
  <si>
    <t>NOTES</t>
  </si>
  <si>
    <t>Mechanical acres treated</t>
  </si>
  <si>
    <t>Rx acres treated</t>
  </si>
  <si>
    <t>assumes we're shooting for 20 mn acres total</t>
  </si>
  <si>
    <t>Total treatment cost</t>
  </si>
  <si>
    <t>Original notes/assumptions from Sagehen</t>
  </si>
  <si>
    <t>If not avoided cost, figure for estimated fire/rec/economic avoided cost available?</t>
  </si>
  <si>
    <r>
      <t xml:space="preserve">20 m fire prone acres </t>
    </r>
    <r>
      <rPr>
        <i/>
        <sz val="10"/>
        <color rgb="FF000000"/>
        <rFont val="Arial"/>
        <family val="2"/>
      </rPr>
      <t>(We use 15 m - which is the better number?)</t>
    </r>
  </si>
  <si>
    <t>Estimated costs including inflation</t>
  </si>
  <si>
    <t>Treatment Assumptions/Totals</t>
  </si>
  <si>
    <t xml:space="preserve">Acres-facility-cost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</si>
</sst>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  <numFmt numFmtId="167" formatCode="0.0%"/>
    <numFmt numFmtId="168" formatCode="_(* #,##0_);_(* \(#,##0\);_(* &quot;-&quot;??_);_(@_)"/>
    <numFmt numFmtId="169" formatCode="#,##0&quot; tons&quot;"/>
    <numFmt numFmtId="170" formatCode="#,##0.0"/>
    <numFmt numFmtId="171" formatCode="0.000"/>
    <numFmt numFmtId="172" formatCode="_(* #,##0.0_);_(* \(#,##0.0\);_(* &quot;-&quot;??_);_(@_)"/>
    <numFmt numFmtId="173" formatCode="0.0"/>
    <numFmt numFmtId="174" formatCode="#,##0.0_);\(#,##0.0\)"/>
  </numFmts>
  <fonts count="63" x14ac:knownFonts="1"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9" tint="-0.499984740745262"/>
      <name val="Calibri"/>
      <family val="2"/>
    </font>
    <font>
      <i/>
      <sz val="10"/>
      <color theme="1"/>
      <name val="Calibri"/>
      <family val="2"/>
    </font>
    <font>
      <i/>
      <sz val="10"/>
      <color theme="9" tint="-0.499984740745262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9" tint="-0.499984740745262"/>
      <name val="Calibri"/>
      <family val="2"/>
    </font>
    <font>
      <b/>
      <i/>
      <sz val="12"/>
      <color theme="9" tint="-0.499984740745262"/>
      <name val="Calibri"/>
      <family val="2"/>
    </font>
    <font>
      <b/>
      <sz val="10"/>
      <color theme="9" tint="-0.249977111117893"/>
      <name val="Calibri"/>
      <family val="2"/>
    </font>
    <font>
      <u val="singleAccounting"/>
      <sz val="10"/>
      <color theme="1"/>
      <name val="Calibri"/>
      <family val="2"/>
    </font>
    <font>
      <sz val="8"/>
      <name val="Calibri"/>
      <family val="2"/>
    </font>
    <font>
      <u/>
      <sz val="10"/>
      <color theme="10"/>
      <name val="Calibri"/>
      <family val="2"/>
    </font>
    <font>
      <u/>
      <sz val="10"/>
      <color theme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0"/>
      <color theme="5" tint="-0.499984740745262"/>
      <name val="Calibri"/>
      <family val="2"/>
    </font>
    <font>
      <b/>
      <sz val="10"/>
      <color theme="8" tint="-0.499984740745262"/>
      <name val="Calibri"/>
      <family val="2"/>
    </font>
    <font>
      <b/>
      <sz val="10"/>
      <color theme="7" tint="-0.499984740745262"/>
      <name val="Calibri"/>
      <family val="2"/>
    </font>
    <font>
      <b/>
      <i/>
      <sz val="12"/>
      <color theme="7" tint="-0.499984740745262"/>
      <name val="Calibri"/>
      <family val="2"/>
    </font>
    <font>
      <i/>
      <sz val="10"/>
      <color theme="7" tint="-0.499984740745262"/>
      <name val="Calibri"/>
      <family val="2"/>
    </font>
    <font>
      <b/>
      <i/>
      <sz val="10"/>
      <color theme="7" tint="-0.499984740745262"/>
      <name val="Calibri"/>
      <family val="2"/>
    </font>
    <font>
      <b/>
      <sz val="10"/>
      <color theme="7" tint="0.79998168889431442"/>
      <name val="Calibri"/>
      <family val="2"/>
    </font>
    <font>
      <b/>
      <sz val="10"/>
      <color theme="9" tint="0.79998168889431442"/>
      <name val="Calibri"/>
      <family val="2"/>
    </font>
    <font>
      <b/>
      <sz val="10"/>
      <color theme="5" tint="0.79998168889431442"/>
      <name val="Calibri"/>
      <family val="2"/>
    </font>
    <font>
      <b/>
      <sz val="10"/>
      <color theme="8" tint="0.79998168889431442"/>
      <name val="Calibri"/>
      <family val="2"/>
    </font>
    <font>
      <i/>
      <sz val="10"/>
      <color theme="5" tint="-0.499984740745262"/>
      <name val="Calibri"/>
      <family val="2"/>
    </font>
    <font>
      <b/>
      <i/>
      <sz val="12"/>
      <color theme="5" tint="-0.499984740745262"/>
      <name val="Calibri"/>
      <family val="2"/>
    </font>
    <font>
      <b/>
      <i/>
      <sz val="10"/>
      <color theme="5" tint="-0.499984740745262"/>
      <name val="Calibri"/>
      <family val="2"/>
    </font>
    <font>
      <i/>
      <sz val="10"/>
      <color theme="8" tint="-0.499984740745262"/>
      <name val="Calibri"/>
      <family val="2"/>
    </font>
    <font>
      <b/>
      <i/>
      <sz val="10"/>
      <color theme="8" tint="-0.499984740745262"/>
      <name val="Calibri"/>
      <family val="2"/>
    </font>
    <font>
      <b/>
      <sz val="10"/>
      <color theme="4" tint="0.79998168889431442"/>
      <name val="Calibri"/>
      <family val="2"/>
    </font>
    <font>
      <b/>
      <i/>
      <sz val="12"/>
      <color theme="8" tint="-0.499984740745262"/>
      <name val="Calibri"/>
      <family val="2"/>
    </font>
    <font>
      <b/>
      <i/>
      <sz val="10"/>
      <color theme="1"/>
      <name val="Calibri"/>
      <family val="2"/>
    </font>
    <font>
      <i/>
      <u val="singleAccounting"/>
      <sz val="10"/>
      <color theme="9" tint="-0.499984740745262"/>
      <name val="Calibri"/>
      <family val="2"/>
    </font>
    <font>
      <sz val="10"/>
      <color theme="5" tint="-0.249977111117893"/>
      <name val="Calibri"/>
      <family val="2"/>
    </font>
    <font>
      <sz val="10"/>
      <color theme="7" tint="-0.249977111117893"/>
      <name val="Calibri"/>
      <family val="2"/>
    </font>
    <font>
      <sz val="10"/>
      <color theme="9" tint="-0.249977111117893"/>
      <name val="Calibri"/>
      <family val="2"/>
    </font>
    <font>
      <b/>
      <sz val="9"/>
      <color theme="5" tint="-0.249977111117893"/>
      <name val="Calibri"/>
      <family val="2"/>
    </font>
    <font>
      <sz val="9"/>
      <color theme="1"/>
      <name val="Calibri"/>
      <family val="2"/>
    </font>
    <font>
      <u val="singleAccounting"/>
      <sz val="9"/>
      <color theme="1"/>
      <name val="Calibri"/>
      <family val="2"/>
    </font>
    <font>
      <i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0"/>
      <color theme="8" tint="-0.249977111117893"/>
      <name val="Calibri"/>
      <family val="2"/>
    </font>
    <font>
      <i/>
      <sz val="10"/>
      <color theme="9" tint="-0.249977111117893"/>
      <name val="Calibri"/>
      <family val="2"/>
    </font>
    <font>
      <b/>
      <i/>
      <sz val="10"/>
      <color theme="9" tint="-0.249977111117893"/>
      <name val="Calibri"/>
      <family val="2"/>
    </font>
    <font>
      <i/>
      <u/>
      <sz val="10"/>
      <color theme="9" tint="-0.499984740745262"/>
      <name val="Calibri"/>
      <family val="2"/>
    </font>
    <font>
      <sz val="10"/>
      <color theme="5" tint="0.79998168889431442"/>
      <name val="Calibri"/>
      <family val="2"/>
    </font>
    <font>
      <sz val="10"/>
      <color theme="7" tint="0.79998168889431442"/>
      <name val="Calibri"/>
      <family val="2"/>
    </font>
    <font>
      <sz val="10"/>
      <color theme="8" tint="0.79998168889431442"/>
      <name val="Calibri"/>
      <family val="2"/>
    </font>
    <font>
      <sz val="10"/>
      <color theme="9" tint="0.79998168889431442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9"/>
      <color theme="1"/>
      <name val="Calibri"/>
      <family val="2"/>
    </font>
    <font>
      <sz val="10"/>
      <color theme="9" tint="-0.499984740745262"/>
      <name val="Calibri"/>
      <family val="2"/>
    </font>
    <font>
      <u val="singleAccounting"/>
      <sz val="10"/>
      <color theme="9" tint="-0.499984740745262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thick">
        <color theme="9" tint="0.79998168889431442"/>
      </left>
      <right style="thick">
        <color theme="9" tint="0.79998168889431442"/>
      </right>
      <top style="thick">
        <color theme="9" tint="0.79998168889431442"/>
      </top>
      <bottom style="thick">
        <color theme="9" tint="0.79998168889431442"/>
      </bottom>
      <diagonal/>
    </border>
    <border>
      <left style="thick">
        <color theme="9" tint="0.79998168889431442"/>
      </left>
      <right style="thick">
        <color theme="9" tint="0.79998168889431442"/>
      </right>
      <top/>
      <bottom style="thick">
        <color theme="9" tint="0.79998168889431442"/>
      </bottom>
      <diagonal/>
    </border>
    <border>
      <left/>
      <right/>
      <top/>
      <bottom style="thick">
        <color theme="9" tint="0.79998168889431442"/>
      </bottom>
      <diagonal/>
    </border>
    <border>
      <left style="thick">
        <color theme="7" tint="0.79998168889431442"/>
      </left>
      <right style="thick">
        <color theme="7" tint="0.79998168889431442"/>
      </right>
      <top style="thick">
        <color theme="7" tint="0.79998168889431442"/>
      </top>
      <bottom style="thick">
        <color theme="7" tint="0.79998168889431442"/>
      </bottom>
      <diagonal/>
    </border>
    <border>
      <left style="thick">
        <color theme="5" tint="0.79998168889431442"/>
      </left>
      <right style="thick">
        <color theme="5" tint="0.79998168889431442"/>
      </right>
      <top style="thick">
        <color theme="5" tint="0.79998168889431442"/>
      </top>
      <bottom style="thick">
        <color theme="5" tint="0.79998168889431442"/>
      </bottom>
      <diagonal/>
    </border>
    <border>
      <left style="thick">
        <color theme="8" tint="0.79998168889431442"/>
      </left>
      <right style="thick">
        <color theme="8" tint="0.79998168889431442"/>
      </right>
      <top style="thick">
        <color theme="8" tint="0.79998168889431442"/>
      </top>
      <bottom style="thick">
        <color theme="8" tint="0.79998168889431442"/>
      </bottom>
      <diagonal/>
    </border>
    <border>
      <left style="thick">
        <color theme="9" tint="0.79998168889431442"/>
      </left>
      <right style="thick">
        <color theme="9" tint="0.79998168889431442"/>
      </right>
      <top style="thick">
        <color theme="9" tint="0.79998168889431442"/>
      </top>
      <bottom/>
      <diagonal/>
    </border>
    <border>
      <left/>
      <right/>
      <top/>
      <bottom style="thick">
        <color theme="5" tint="0.79998168889431442"/>
      </bottom>
      <diagonal/>
    </border>
    <border>
      <left style="thick">
        <color theme="5" tint="0.79998168889431442"/>
      </left>
      <right style="thick">
        <color theme="5" tint="0.79998168889431442"/>
      </right>
      <top style="thick">
        <color theme="5" tint="0.79998168889431442"/>
      </top>
      <bottom/>
      <diagonal/>
    </border>
    <border>
      <left/>
      <right/>
      <top/>
      <bottom style="thick">
        <color theme="8" tint="0.79998168889431442"/>
      </bottom>
      <diagonal/>
    </border>
    <border>
      <left style="double">
        <color theme="9" tint="-0.24994659260841701"/>
      </left>
      <right style="double">
        <color theme="9" tint="-0.24994659260841701"/>
      </right>
      <top style="double">
        <color theme="9" tint="-0.24994659260841701"/>
      </top>
      <bottom style="double">
        <color theme="9" tint="-0.24994659260841701"/>
      </bottom>
      <diagonal/>
    </border>
    <border>
      <left style="thick">
        <color theme="9" tint="0.79998168889431442"/>
      </left>
      <right/>
      <top style="thick">
        <color theme="9" tint="0.79998168889431442"/>
      </top>
      <bottom/>
      <diagonal/>
    </border>
    <border>
      <left/>
      <right/>
      <top/>
      <bottom style="thick">
        <color theme="0" tint="-0.34998626667073579"/>
      </bottom>
      <diagonal/>
    </border>
    <border>
      <left style="double">
        <color theme="9" tint="-0.24994659260841701"/>
      </left>
      <right style="double">
        <color theme="9" tint="-0.24994659260841701"/>
      </right>
      <top style="double">
        <color theme="9" tint="-0.24994659260841701"/>
      </top>
      <bottom/>
      <diagonal/>
    </border>
    <border>
      <left style="thick">
        <color theme="8" tint="0.79998168889431442"/>
      </left>
      <right style="thick">
        <color theme="8" tint="0.79998168889431442"/>
      </right>
      <top/>
      <bottom style="thick">
        <color theme="8" tint="0.7999816888943144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4" borderId="1" applyNumberFormat="0" applyProtection="0">
      <alignment horizontal="center"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5" fontId="26" fillId="9" borderId="4" applyNumberFormat="0">
      <alignment horizontal="center"/>
    </xf>
    <xf numFmtId="165" fontId="28" fillId="12" borderId="5" applyNumberFormat="0">
      <alignment horizontal="center"/>
    </xf>
    <xf numFmtId="165" fontId="29" fillId="15" borderId="6" applyNumberFormat="0">
      <alignment horizontal="center"/>
    </xf>
    <xf numFmtId="169" fontId="9" fillId="2" borderId="11" applyNumberFormat="0" applyProtection="0">
      <alignment horizontal="center" vertical="center"/>
    </xf>
  </cellStyleXfs>
  <cellXfs count="282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1" fillId="3" borderId="0" xfId="0" applyFont="1" applyFill="1"/>
    <xf numFmtId="0" fontId="4" fillId="0" borderId="0" xfId="0" applyFont="1"/>
    <xf numFmtId="0" fontId="3" fillId="0" borderId="0" xfId="0" applyFont="1" applyFill="1"/>
    <xf numFmtId="0" fontId="0" fillId="0" borderId="0" xfId="0" applyFill="1"/>
    <xf numFmtId="0" fontId="8" fillId="0" borderId="0" xfId="0" applyFont="1" applyFill="1"/>
    <xf numFmtId="0" fontId="3" fillId="0" borderId="0" xfId="0" applyFont="1"/>
    <xf numFmtId="3" fontId="0" fillId="0" borderId="0" xfId="0" applyNumberFormat="1" applyAlignment="1">
      <alignment horizontal="center"/>
    </xf>
    <xf numFmtId="0" fontId="7" fillId="0" borderId="0" xfId="0" applyFon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 indent="2"/>
    </xf>
    <xf numFmtId="0" fontId="9" fillId="0" borderId="3" xfId="0" applyFont="1" applyBorder="1"/>
    <xf numFmtId="0" fontId="6" fillId="0" borderId="0" xfId="0" applyFont="1"/>
    <xf numFmtId="166" fontId="0" fillId="0" borderId="0" xfId="2" applyNumberFormat="1" applyFont="1"/>
    <xf numFmtId="166" fontId="10" fillId="0" borderId="0" xfId="2" applyNumberFormat="1" applyFont="1"/>
    <xf numFmtId="166" fontId="0" fillId="0" borderId="0" xfId="0" applyNumberForma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16" fillId="5" borderId="0" xfId="0" applyFont="1" applyFill="1"/>
    <xf numFmtId="0" fontId="17" fillId="5" borderId="0" xfId="0" applyFont="1" applyFill="1"/>
    <xf numFmtId="0" fontId="18" fillId="5" borderId="0" xfId="0" applyFont="1" applyFill="1"/>
    <xf numFmtId="0" fontId="2" fillId="8" borderId="0" xfId="0" applyFont="1" applyFill="1"/>
    <xf numFmtId="0" fontId="0" fillId="8" borderId="0" xfId="0" applyFill="1"/>
    <xf numFmtId="0" fontId="3" fillId="8" borderId="0" xfId="0" applyFont="1" applyFill="1"/>
    <xf numFmtId="0" fontId="22" fillId="8" borderId="0" xfId="0" applyFont="1" applyFill="1"/>
    <xf numFmtId="0" fontId="1" fillId="7" borderId="0" xfId="0" applyFont="1" applyFill="1"/>
    <xf numFmtId="0" fontId="23" fillId="0" borderId="0" xfId="0" applyFont="1" applyFill="1"/>
    <xf numFmtId="0" fontId="24" fillId="0" borderId="0" xfId="0" applyFont="1"/>
    <xf numFmtId="0" fontId="25" fillId="0" borderId="0" xfId="0" applyFont="1"/>
    <xf numFmtId="0" fontId="4" fillId="8" borderId="0" xfId="0" applyFont="1" applyFill="1" applyAlignment="1">
      <alignment vertical="center"/>
    </xf>
    <xf numFmtId="0" fontId="28" fillId="10" borderId="0" xfId="0" applyFont="1" applyFill="1"/>
    <xf numFmtId="0" fontId="30" fillId="0" borderId="0" xfId="0" applyFont="1"/>
    <xf numFmtId="0" fontId="31" fillId="0" borderId="0" xfId="0" applyFont="1" applyFill="1"/>
    <xf numFmtId="0" fontId="32" fillId="0" borderId="0" xfId="0" applyFont="1"/>
    <xf numFmtId="0" fontId="4" fillId="13" borderId="0" xfId="0" applyFont="1" applyFill="1" applyAlignment="1">
      <alignment vertical="center"/>
    </xf>
    <xf numFmtId="0" fontId="2" fillId="13" borderId="0" xfId="0" applyFont="1" applyFill="1"/>
    <xf numFmtId="0" fontId="0" fillId="13" borderId="0" xfId="0" applyFill="1"/>
    <xf numFmtId="0" fontId="3" fillId="13" borderId="0" xfId="0" applyFont="1" applyFill="1"/>
    <xf numFmtId="0" fontId="20" fillId="13" borderId="0" xfId="0" applyFont="1" applyFill="1"/>
    <xf numFmtId="0" fontId="2" fillId="14" borderId="0" xfId="0" applyFont="1" applyFill="1"/>
    <xf numFmtId="0" fontId="0" fillId="14" borderId="0" xfId="0" applyFill="1"/>
    <xf numFmtId="0" fontId="3" fillId="14" borderId="0" xfId="0" applyFont="1" applyFill="1"/>
    <xf numFmtId="0" fontId="21" fillId="14" borderId="0" xfId="0" applyFont="1" applyFill="1"/>
    <xf numFmtId="0" fontId="34" fillId="0" borderId="0" xfId="0" applyFont="1"/>
    <xf numFmtId="0" fontId="35" fillId="11" borderId="0" xfId="0" applyFont="1" applyFill="1"/>
    <xf numFmtId="0" fontId="33" fillId="0" borderId="0" xfId="0" applyFont="1"/>
    <xf numFmtId="0" fontId="36" fillId="0" borderId="0" xfId="0" applyFont="1" applyFill="1"/>
    <xf numFmtId="0" fontId="0" fillId="0" borderId="0" xfId="0" applyAlignment="1">
      <alignment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17" fillId="0" borderId="0" xfId="4" applyFont="1" applyFill="1" applyBorder="1">
      <alignment horizontal="center" vertical="center"/>
    </xf>
    <xf numFmtId="9" fontId="0" fillId="0" borderId="0" xfId="3" applyFont="1" applyAlignment="1">
      <alignment horizontal="center"/>
    </xf>
    <xf numFmtId="166" fontId="10" fillId="0" borderId="0" xfId="0" applyNumberFormat="1" applyFont="1"/>
    <xf numFmtId="0" fontId="37" fillId="0" borderId="0" xfId="0" applyFont="1" applyAlignment="1">
      <alignment horizontal="left" indent="1"/>
    </xf>
    <xf numFmtId="166" fontId="37" fillId="0" borderId="0" xfId="0" applyNumberFormat="1" applyFont="1"/>
    <xf numFmtId="0" fontId="17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left" indent="2"/>
    </xf>
    <xf numFmtId="0" fontId="0" fillId="0" borderId="0" xfId="0" applyFont="1" applyAlignment="1">
      <alignment horizontal="left" indent="2"/>
    </xf>
    <xf numFmtId="164" fontId="0" fillId="0" borderId="0" xfId="0" applyNumberFormat="1"/>
    <xf numFmtId="166" fontId="3" fillId="0" borderId="0" xfId="0" applyNumberFormat="1" applyFont="1"/>
    <xf numFmtId="0" fontId="3" fillId="0" borderId="0" xfId="0" applyFont="1" applyAlignment="1">
      <alignment horizontal="left"/>
    </xf>
    <xf numFmtId="43" fontId="4" fillId="13" borderId="0" xfId="1" applyFont="1" applyFill="1" applyAlignment="1">
      <alignment vertical="center"/>
    </xf>
    <xf numFmtId="43" fontId="38" fillId="13" borderId="0" xfId="1" applyFont="1" applyFill="1" applyAlignment="1">
      <alignment vertical="center"/>
    </xf>
    <xf numFmtId="0" fontId="7" fillId="13" borderId="0" xfId="0" applyFont="1" applyFill="1" applyAlignment="1">
      <alignment vertical="center"/>
    </xf>
    <xf numFmtId="9" fontId="7" fillId="13" borderId="0" xfId="3" applyFont="1" applyFill="1" applyAlignment="1">
      <alignment vertical="center"/>
    </xf>
    <xf numFmtId="9" fontId="7" fillId="8" borderId="0" xfId="3" applyFont="1" applyFill="1" applyAlignment="1">
      <alignment vertical="center"/>
    </xf>
    <xf numFmtId="0" fontId="25" fillId="0" borderId="0" xfId="0" applyFont="1" applyFill="1"/>
    <xf numFmtId="0" fontId="24" fillId="0" borderId="0" xfId="0" applyFont="1" applyAlignment="1">
      <alignment horizontal="left" indent="1"/>
    </xf>
    <xf numFmtId="166" fontId="5" fillId="0" borderId="0" xfId="2" applyNumberFormat="1" applyFont="1"/>
    <xf numFmtId="168" fontId="4" fillId="8" borderId="0" xfId="1" applyNumberFormat="1" applyFont="1" applyFill="1" applyAlignment="1">
      <alignment vertical="center"/>
    </xf>
    <xf numFmtId="168" fontId="38" fillId="8" borderId="0" xfId="1" applyNumberFormat="1" applyFont="1" applyFill="1" applyAlignment="1">
      <alignment vertical="center"/>
    </xf>
    <xf numFmtId="44" fontId="0" fillId="0" borderId="0" xfId="0" applyNumberFormat="1"/>
    <xf numFmtId="0" fontId="37" fillId="0" borderId="0" xfId="0" applyFont="1"/>
    <xf numFmtId="166" fontId="39" fillId="0" borderId="0" xfId="2" applyNumberFormat="1" applyFont="1"/>
    <xf numFmtId="9" fontId="39" fillId="0" borderId="0" xfId="3" applyFont="1" applyAlignment="1">
      <alignment horizontal="right" indent="1"/>
    </xf>
    <xf numFmtId="0" fontId="39" fillId="0" borderId="0" xfId="0" applyFont="1" applyAlignment="1">
      <alignment horizontal="right" indent="1"/>
    </xf>
    <xf numFmtId="172" fontId="39" fillId="0" borderId="0" xfId="1" applyNumberFormat="1" applyFont="1"/>
    <xf numFmtId="166" fontId="40" fillId="0" borderId="0" xfId="2" applyNumberFormat="1" applyFont="1"/>
    <xf numFmtId="9" fontId="40" fillId="0" borderId="0" xfId="3" applyFont="1" applyAlignment="1">
      <alignment horizontal="right" indent="1"/>
    </xf>
    <xf numFmtId="0" fontId="40" fillId="0" borderId="0" xfId="0" applyFont="1" applyAlignment="1">
      <alignment horizontal="right" indent="1"/>
    </xf>
    <xf numFmtId="172" fontId="40" fillId="0" borderId="0" xfId="1" applyNumberFormat="1" applyFont="1"/>
    <xf numFmtId="166" fontId="41" fillId="0" borderId="0" xfId="2" applyNumberFormat="1" applyFont="1"/>
    <xf numFmtId="0" fontId="41" fillId="0" borderId="0" xfId="0" applyFont="1" applyAlignment="1">
      <alignment horizontal="right" indent="1"/>
    </xf>
    <xf numFmtId="172" fontId="41" fillId="0" borderId="0" xfId="1" applyNumberFormat="1" applyFont="1"/>
    <xf numFmtId="0" fontId="32" fillId="13" borderId="0" xfId="0" applyFont="1" applyFill="1" applyAlignment="1">
      <alignment vertical="center"/>
    </xf>
    <xf numFmtId="0" fontId="42" fillId="0" borderId="8" xfId="0" applyFont="1" applyBorder="1"/>
    <xf numFmtId="0" fontId="43" fillId="0" borderId="0" xfId="0" applyFont="1"/>
    <xf numFmtId="166" fontId="44" fillId="0" borderId="0" xfId="2" applyNumberFormat="1" applyFont="1"/>
    <xf numFmtId="166" fontId="43" fillId="0" borderId="0" xfId="0" applyNumberFormat="1" applyFont="1"/>
    <xf numFmtId="166" fontId="43" fillId="0" borderId="0" xfId="2" applyNumberFormat="1" applyFont="1"/>
    <xf numFmtId="166" fontId="45" fillId="0" borderId="0" xfId="0" applyNumberFormat="1" applyFont="1"/>
    <xf numFmtId="166" fontId="44" fillId="0" borderId="0" xfId="0" applyNumberFormat="1" applyFont="1"/>
    <xf numFmtId="166" fontId="46" fillId="0" borderId="0" xfId="0" applyNumberFormat="1" applyFont="1"/>
    <xf numFmtId="0" fontId="0" fillId="0" borderId="0" xfId="0" quotePrefix="1"/>
    <xf numFmtId="0" fontId="34" fillId="0" borderId="0" xfId="0" applyFont="1" applyFill="1"/>
    <xf numFmtId="0" fontId="33" fillId="0" borderId="0" xfId="0" applyFont="1" applyAlignment="1">
      <alignment horizontal="left" indent="1"/>
    </xf>
    <xf numFmtId="0" fontId="21" fillId="0" borderId="10" xfId="0" applyFont="1" applyBorder="1"/>
    <xf numFmtId="0" fontId="4" fillId="14" borderId="0" xfId="0" applyFont="1" applyFill="1" applyAlignment="1">
      <alignment vertical="center"/>
    </xf>
    <xf numFmtId="166" fontId="47" fillId="0" borderId="0" xfId="2" applyNumberFormat="1" applyFont="1"/>
    <xf numFmtId="9" fontId="47" fillId="0" borderId="0" xfId="3" applyFont="1" applyAlignment="1">
      <alignment horizontal="right" indent="1"/>
    </xf>
    <xf numFmtId="0" fontId="47" fillId="0" borderId="0" xfId="0" applyFont="1" applyAlignment="1">
      <alignment horizontal="right" indent="1"/>
    </xf>
    <xf numFmtId="172" fontId="47" fillId="0" borderId="0" xfId="1" applyNumberFormat="1" applyFont="1"/>
    <xf numFmtId="0" fontId="34" fillId="14" borderId="0" xfId="0" applyFont="1" applyFill="1" applyAlignment="1">
      <alignment vertical="center"/>
    </xf>
    <xf numFmtId="0" fontId="34" fillId="0" borderId="0" xfId="0" applyFont="1" applyAlignment="1">
      <alignment horizontal="left" indent="1"/>
    </xf>
    <xf numFmtId="0" fontId="21" fillId="0" borderId="0" xfId="0" applyFont="1"/>
    <xf numFmtId="0" fontId="25" fillId="8" borderId="0" xfId="0" applyFont="1" applyFill="1" applyAlignment="1">
      <alignment vertical="center"/>
    </xf>
    <xf numFmtId="0" fontId="22" fillId="0" borderId="8" xfId="0" applyFont="1" applyBorder="1"/>
    <xf numFmtId="0" fontId="25" fillId="0" borderId="0" xfId="0" applyFont="1" applyAlignment="1">
      <alignment horizontal="left" indent="1"/>
    </xf>
    <xf numFmtId="166" fontId="25" fillId="0" borderId="0" xfId="0" applyNumberFormat="1" applyFont="1"/>
    <xf numFmtId="0" fontId="22" fillId="0" borderId="0" xfId="0" applyFont="1"/>
    <xf numFmtId="0" fontId="4" fillId="0" borderId="0" xfId="0" applyFont="1" applyFill="1" applyAlignment="1">
      <alignment vertical="center"/>
    </xf>
    <xf numFmtId="0" fontId="48" fillId="2" borderId="0" xfId="0" applyFont="1" applyFill="1" applyAlignment="1">
      <alignment horizontal="center" wrapText="1"/>
    </xf>
    <xf numFmtId="0" fontId="7" fillId="2" borderId="0" xfId="0" applyFont="1" applyFill="1" applyAlignment="1">
      <alignment vertical="center"/>
    </xf>
    <xf numFmtId="9" fontId="4" fillId="2" borderId="0" xfId="3" applyFont="1" applyFill="1" applyAlignment="1">
      <alignment vertical="center"/>
    </xf>
    <xf numFmtId="9" fontId="50" fillId="2" borderId="0" xfId="3" applyFont="1" applyFill="1" applyAlignment="1">
      <alignment vertical="center"/>
    </xf>
    <xf numFmtId="0" fontId="34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44" fontId="0" fillId="0" borderId="0" xfId="2" applyFont="1"/>
    <xf numFmtId="0" fontId="34" fillId="0" borderId="0" xfId="0" applyFont="1" applyAlignment="1">
      <alignment horizontal="center" wrapText="1"/>
    </xf>
    <xf numFmtId="0" fontId="53" fillId="14" borderId="0" xfId="0" applyFont="1" applyFill="1"/>
    <xf numFmtId="0" fontId="51" fillId="13" borderId="0" xfId="0" applyFont="1" applyFill="1"/>
    <xf numFmtId="0" fontId="52" fillId="8" borderId="0" xfId="0" applyFont="1" applyFill="1"/>
    <xf numFmtId="0" fontId="54" fillId="2" borderId="0" xfId="0" applyFont="1" applyFill="1"/>
    <xf numFmtId="165" fontId="9" fillId="0" borderId="0" xfId="4" applyNumberFormat="1" applyFont="1" applyFill="1" applyBorder="1" applyAlignment="1">
      <alignment horizontal="center"/>
    </xf>
    <xf numFmtId="164" fontId="17" fillId="0" borderId="0" xfId="12" applyNumberFormat="1" applyFont="1" applyFill="1" applyBorder="1">
      <alignment horizontal="center"/>
    </xf>
    <xf numFmtId="170" fontId="0" fillId="0" borderId="0" xfId="0" applyNumberFormat="1" applyAlignment="1">
      <alignment horizontal="center"/>
    </xf>
    <xf numFmtId="6" fontId="0" fillId="0" borderId="0" xfId="0" applyNumberFormat="1"/>
    <xf numFmtId="9" fontId="0" fillId="0" borderId="0" xfId="3" applyFont="1"/>
    <xf numFmtId="167" fontId="9" fillId="0" borderId="12" xfId="4" applyNumberFormat="1" applyFont="1" applyFill="1" applyBorder="1">
      <alignment horizontal="center" vertical="center"/>
    </xf>
    <xf numFmtId="0" fontId="1" fillId="6" borderId="0" xfId="0" applyFont="1" applyFill="1" applyAlignment="1" applyProtection="1">
      <alignment horizontal="center"/>
      <protection locked="0"/>
    </xf>
    <xf numFmtId="9" fontId="1" fillId="6" borderId="0" xfId="3" applyFont="1" applyFill="1" applyAlignment="1" applyProtection="1">
      <alignment horizontal="center"/>
      <protection locked="0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9" fillId="0" borderId="13" xfId="0" applyFont="1" applyFill="1" applyBorder="1"/>
    <xf numFmtId="167" fontId="1" fillId="4" borderId="7" xfId="4" applyNumberFormat="1" applyBorder="1" applyProtection="1">
      <alignment horizontal="center" vertical="center"/>
      <protection locked="0"/>
    </xf>
    <xf numFmtId="167" fontId="9" fillId="2" borderId="11" xfId="14" applyNumberFormat="1" applyBorder="1" applyProtection="1">
      <alignment horizontal="center" vertical="center"/>
      <protection locked="0"/>
    </xf>
    <xf numFmtId="167" fontId="9" fillId="0" borderId="11" xfId="4" applyNumberFormat="1" applyFont="1" applyFill="1" applyBorder="1" applyProtection="1">
      <alignment horizontal="center" vertical="center"/>
      <protection locked="0"/>
    </xf>
    <xf numFmtId="170" fontId="1" fillId="4" borderId="1" xfId="4" applyNumberFormat="1" applyProtection="1">
      <alignment horizontal="center" vertical="center"/>
      <protection locked="0"/>
    </xf>
    <xf numFmtId="170" fontId="9" fillId="2" borderId="11" xfId="14" applyNumberFormat="1" applyProtection="1">
      <alignment horizontal="center" vertical="center"/>
      <protection locked="0"/>
    </xf>
    <xf numFmtId="3" fontId="1" fillId="4" borderId="1" xfId="4" applyNumberFormat="1" applyProtection="1">
      <alignment horizontal="center" vertical="center"/>
      <protection locked="0"/>
    </xf>
    <xf numFmtId="3" fontId="9" fillId="2" borderId="11" xfId="14" applyNumberFormat="1" applyProtection="1">
      <alignment horizontal="center" vertical="center"/>
      <protection locked="0"/>
    </xf>
    <xf numFmtId="9" fontId="9" fillId="2" borderId="11" xfId="14" applyNumberFormat="1" applyProtection="1">
      <alignment horizontal="center" vertical="center"/>
      <protection locked="0"/>
    </xf>
    <xf numFmtId="9" fontId="1" fillId="4" borderId="7" xfId="4" applyNumberFormat="1" applyBorder="1" applyProtection="1">
      <alignment horizontal="center" vertical="center"/>
      <protection locked="0"/>
    </xf>
    <xf numFmtId="165" fontId="1" fillId="3" borderId="1" xfId="4" applyNumberFormat="1" applyFill="1" applyAlignment="1" applyProtection="1">
      <alignment horizontal="center"/>
      <protection locked="0"/>
    </xf>
    <xf numFmtId="165" fontId="9" fillId="2" borderId="11" xfId="14" applyNumberFormat="1" applyProtection="1">
      <alignment horizontal="center" vertical="center"/>
      <protection locked="0"/>
    </xf>
    <xf numFmtId="0" fontId="1" fillId="3" borderId="1" xfId="4" applyFill="1" applyProtection="1">
      <alignment horizontal="center" vertical="center"/>
      <protection locked="0"/>
    </xf>
    <xf numFmtId="0" fontId="9" fillId="2" borderId="11" xfId="14" applyNumberFormat="1" applyProtection="1">
      <alignment horizontal="center" vertical="center"/>
      <protection locked="0"/>
    </xf>
    <xf numFmtId="1" fontId="1" fillId="4" borderId="1" xfId="4" applyNumberFormat="1" applyProtection="1">
      <alignment horizontal="center" vertical="center"/>
      <protection locked="0"/>
    </xf>
    <xf numFmtId="1" fontId="9" fillId="2" borderId="11" xfId="14" applyNumberFormat="1" applyProtection="1">
      <alignment horizontal="center" vertical="center"/>
      <protection locked="0"/>
    </xf>
    <xf numFmtId="9" fontId="1" fillId="4" borderId="2" xfId="4" applyNumberFormat="1" applyBorder="1" applyProtection="1">
      <alignment horizontal="center" vertical="center"/>
      <protection locked="0"/>
    </xf>
    <xf numFmtId="164" fontId="1" fillId="3" borderId="1" xfId="4" applyNumberFormat="1" applyFill="1" applyAlignment="1" applyProtection="1">
      <alignment horizontal="center"/>
      <protection locked="0"/>
    </xf>
    <xf numFmtId="164" fontId="9" fillId="2" borderId="11" xfId="14" applyNumberFormat="1" applyProtection="1">
      <alignment horizontal="center" vertical="center"/>
      <protection locked="0"/>
    </xf>
    <xf numFmtId="165" fontId="1" fillId="3" borderId="2" xfId="4" applyNumberFormat="1" applyFill="1" applyBorder="1" applyAlignment="1" applyProtection="1">
      <alignment horizontal="center"/>
      <protection locked="0"/>
    </xf>
    <xf numFmtId="165" fontId="9" fillId="2" borderId="11" xfId="14" applyNumberFormat="1" applyBorder="1" applyProtection="1">
      <alignment horizontal="center" vertical="center"/>
      <protection locked="0"/>
    </xf>
    <xf numFmtId="3" fontId="26" fillId="9" borderId="4" xfId="11" applyNumberFormat="1" applyProtection="1">
      <alignment horizontal="center"/>
      <protection locked="0"/>
    </xf>
    <xf numFmtId="9" fontId="26" fillId="9" borderId="4" xfId="11" applyNumberFormat="1" applyProtection="1">
      <alignment horizontal="center"/>
      <protection locked="0"/>
    </xf>
    <xf numFmtId="167" fontId="26" fillId="9" borderId="4" xfId="11" applyNumberFormat="1" applyProtection="1">
      <alignment horizontal="center"/>
      <protection locked="0"/>
    </xf>
    <xf numFmtId="165" fontId="26" fillId="9" borderId="4" xfId="11" applyNumberFormat="1" applyProtection="1">
      <alignment horizontal="center"/>
      <protection locked="0"/>
    </xf>
    <xf numFmtId="170" fontId="26" fillId="9" borderId="4" xfId="11" applyNumberFormat="1" applyProtection="1">
      <alignment horizontal="center"/>
      <protection locked="0"/>
    </xf>
    <xf numFmtId="0" fontId="26" fillId="9" borderId="4" xfId="11" applyNumberFormat="1" applyProtection="1">
      <alignment horizontal="center"/>
      <protection locked="0"/>
    </xf>
    <xf numFmtId="4" fontId="26" fillId="9" borderId="4" xfId="11" applyNumberFormat="1" applyProtection="1">
      <alignment horizontal="center"/>
      <protection locked="0"/>
    </xf>
    <xf numFmtId="164" fontId="26" fillId="9" borderId="4" xfId="11" applyNumberFormat="1" applyProtection="1">
      <alignment horizontal="center"/>
      <protection locked="0"/>
    </xf>
    <xf numFmtId="3" fontId="28" fillId="12" borderId="5" xfId="12" applyNumberFormat="1" applyProtection="1">
      <alignment horizontal="center"/>
      <protection locked="0"/>
    </xf>
    <xf numFmtId="171" fontId="28" fillId="12" borderId="5" xfId="1" applyNumberFormat="1" applyFont="1" applyFill="1" applyBorder="1" applyAlignment="1" applyProtection="1">
      <alignment horizontal="center"/>
      <protection locked="0"/>
    </xf>
    <xf numFmtId="9" fontId="28" fillId="12" borderId="5" xfId="3" applyFont="1" applyFill="1" applyBorder="1" applyAlignment="1" applyProtection="1">
      <alignment horizontal="center"/>
      <protection locked="0"/>
    </xf>
    <xf numFmtId="0" fontId="28" fillId="12" borderId="5" xfId="12" applyNumberFormat="1" applyProtection="1">
      <alignment horizontal="center"/>
      <protection locked="0"/>
    </xf>
    <xf numFmtId="1" fontId="28" fillId="12" borderId="5" xfId="12" applyNumberFormat="1" applyProtection="1">
      <alignment horizontal="center"/>
      <protection locked="0"/>
    </xf>
    <xf numFmtId="9" fontId="28" fillId="12" borderId="5" xfId="12" applyNumberFormat="1" applyProtection="1">
      <alignment horizontal="center"/>
      <protection locked="0"/>
    </xf>
    <xf numFmtId="165" fontId="28" fillId="12" borderId="5" xfId="12" applyNumberFormat="1" applyProtection="1">
      <alignment horizontal="center"/>
      <protection locked="0"/>
    </xf>
    <xf numFmtId="170" fontId="28" fillId="12" borderId="5" xfId="12" applyNumberFormat="1" applyProtection="1">
      <alignment horizontal="center"/>
      <protection locked="0"/>
    </xf>
    <xf numFmtId="2" fontId="28" fillId="12" borderId="5" xfId="12" applyNumberFormat="1" applyProtection="1">
      <alignment horizontal="center"/>
      <protection locked="0"/>
    </xf>
    <xf numFmtId="164" fontId="28" fillId="12" borderId="5" xfId="12" applyNumberFormat="1" applyProtection="1">
      <alignment horizontal="center"/>
      <protection locked="0"/>
    </xf>
    <xf numFmtId="164" fontId="28" fillId="12" borderId="9" xfId="12" applyNumberFormat="1" applyBorder="1" applyProtection="1">
      <alignment horizontal="center"/>
      <protection locked="0"/>
    </xf>
    <xf numFmtId="3" fontId="29" fillId="15" borderId="6" xfId="13" applyNumberFormat="1" applyProtection="1">
      <alignment horizontal="center"/>
      <protection locked="0"/>
    </xf>
    <xf numFmtId="167" fontId="29" fillId="15" borderId="6" xfId="13" applyNumberFormat="1" applyProtection="1">
      <alignment horizontal="center"/>
      <protection locked="0"/>
    </xf>
    <xf numFmtId="173" fontId="29" fillId="15" borderId="6" xfId="13" applyNumberFormat="1" applyProtection="1">
      <alignment horizontal="center"/>
      <protection locked="0"/>
    </xf>
    <xf numFmtId="165" fontId="29" fillId="15" borderId="6" xfId="13" applyNumberFormat="1" applyProtection="1">
      <alignment horizontal="center"/>
      <protection locked="0"/>
    </xf>
    <xf numFmtId="0" fontId="29" fillId="15" borderId="6" xfId="13" applyNumberFormat="1" applyProtection="1">
      <alignment horizontal="center"/>
      <protection locked="0"/>
    </xf>
    <xf numFmtId="9" fontId="29" fillId="15" borderId="6" xfId="13" applyNumberFormat="1" applyProtection="1">
      <alignment horizontal="center"/>
      <protection locked="0"/>
    </xf>
    <xf numFmtId="164" fontId="29" fillId="15" borderId="6" xfId="13" applyNumberFormat="1" applyProtection="1">
      <alignment horizontal="center"/>
      <protection locked="0"/>
    </xf>
    <xf numFmtId="170" fontId="29" fillId="15" borderId="6" xfId="13" applyNumberFormat="1" applyProtection="1">
      <alignment horizontal="center"/>
      <protection locked="0"/>
    </xf>
    <xf numFmtId="9" fontId="29" fillId="15" borderId="6" xfId="3" applyFont="1" applyFill="1" applyBorder="1" applyAlignment="1" applyProtection="1">
      <alignment horizontal="center"/>
      <protection locked="0"/>
    </xf>
    <xf numFmtId="0" fontId="0" fillId="0" borderId="0" xfId="0" applyBorder="1"/>
    <xf numFmtId="0" fontId="55" fillId="0" borderId="0" xfId="0" applyFont="1" applyBorder="1" applyAlignment="1">
      <alignment horizontal="right" vertical="center" wrapText="1"/>
    </xf>
    <xf numFmtId="44" fontId="10" fillId="0" borderId="0" xfId="2" applyNumberFormat="1" applyFont="1"/>
    <xf numFmtId="3" fontId="55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/>
    <xf numFmtId="3" fontId="56" fillId="0" borderId="0" xfId="0" applyNumberFormat="1" applyFont="1" applyBorder="1" applyAlignment="1">
      <alignment horizontal="right" vertical="center" wrapText="1"/>
    </xf>
    <xf numFmtId="168" fontId="0" fillId="0" borderId="0" xfId="1" applyNumberFormat="1" applyFont="1" applyBorder="1"/>
    <xf numFmtId="173" fontId="0" fillId="0" borderId="0" xfId="0" applyNumberFormat="1"/>
    <xf numFmtId="0" fontId="18" fillId="16" borderId="0" xfId="0" applyFont="1" applyFill="1"/>
    <xf numFmtId="165" fontId="17" fillId="0" borderId="0" xfId="12" applyNumberFormat="1" applyFont="1" applyFill="1" applyBorder="1">
      <alignment horizontal="center"/>
    </xf>
    <xf numFmtId="0" fontId="0" fillId="0" borderId="0" xfId="0" applyFill="1" applyBorder="1"/>
    <xf numFmtId="9" fontId="1" fillId="0" borderId="0" xfId="4" applyNumberFormat="1" applyFill="1" applyBorder="1" applyProtection="1">
      <alignment horizontal="center" vertical="center"/>
      <protection locked="0"/>
    </xf>
    <xf numFmtId="9" fontId="9" fillId="0" borderId="0" xfId="14" applyNumberFormat="1" applyFill="1" applyBorder="1" applyProtection="1">
      <alignment horizontal="center" vertical="center"/>
      <protection locked="0"/>
    </xf>
    <xf numFmtId="170" fontId="1" fillId="0" borderId="0" xfId="4" applyNumberFormat="1" applyFill="1" applyBorder="1" applyProtection="1">
      <alignment horizontal="center" vertical="center"/>
      <protection locked="0"/>
    </xf>
    <xf numFmtId="170" fontId="9" fillId="0" borderId="0" xfId="14" applyNumberFormat="1" applyFill="1" applyBorder="1" applyProtection="1">
      <alignment horizontal="center" vertical="center"/>
      <protection locked="0"/>
    </xf>
    <xf numFmtId="3" fontId="0" fillId="0" borderId="0" xfId="0" applyNumberFormat="1" applyFill="1" applyBorder="1" applyAlignment="1">
      <alignment horizontal="center"/>
    </xf>
    <xf numFmtId="9" fontId="9" fillId="2" borderId="14" xfId="14" applyNumberFormat="1" applyBorder="1" applyProtection="1">
      <alignment horizontal="center" vertical="center"/>
      <protection locked="0"/>
    </xf>
    <xf numFmtId="44" fontId="43" fillId="0" borderId="0" xfId="0" applyNumberFormat="1" applyFont="1"/>
    <xf numFmtId="9" fontId="28" fillId="12" borderId="9" xfId="12" applyNumberFormat="1" applyBorder="1" applyProtection="1">
      <alignment horizontal="center"/>
      <protection locked="0"/>
    </xf>
    <xf numFmtId="3" fontId="28" fillId="0" borderId="0" xfId="12" applyNumberFormat="1" applyFill="1" applyBorder="1" applyProtection="1">
      <alignment horizontal="center"/>
      <protection locked="0"/>
    </xf>
    <xf numFmtId="0" fontId="25" fillId="0" borderId="0" xfId="0" applyFont="1" applyFill="1" applyBorder="1"/>
    <xf numFmtId="174" fontId="26" fillId="0" borderId="0" xfId="1" applyNumberFormat="1" applyFont="1" applyFill="1" applyBorder="1" applyAlignment="1" applyProtection="1">
      <alignment horizontal="center"/>
      <protection locked="0"/>
    </xf>
    <xf numFmtId="168" fontId="41" fillId="0" borderId="0" xfId="1" applyNumberFormat="1" applyFont="1" applyFill="1"/>
    <xf numFmtId="168" fontId="40" fillId="0" borderId="0" xfId="1" applyNumberFormat="1" applyFont="1" applyFill="1"/>
    <xf numFmtId="168" fontId="39" fillId="0" borderId="0" xfId="1" applyNumberFormat="1" applyFont="1" applyFill="1"/>
    <xf numFmtId="168" fontId="47" fillId="0" borderId="0" xfId="1" applyNumberFormat="1" applyFont="1" applyFill="1"/>
    <xf numFmtId="173" fontId="29" fillId="15" borderId="15" xfId="13" applyNumberFormat="1" applyBorder="1" applyProtection="1">
      <alignment horizontal="center"/>
      <protection locked="0"/>
    </xf>
    <xf numFmtId="3" fontId="29" fillId="0" borderId="0" xfId="13" applyNumberFormat="1" applyFill="1" applyBorder="1" applyProtection="1">
      <alignment horizontal="center"/>
      <protection locked="0"/>
    </xf>
    <xf numFmtId="0" fontId="26" fillId="7" borderId="0" xfId="0" applyFont="1" applyFill="1" applyAlignment="1">
      <alignment horizontal="center" wrapText="1"/>
    </xf>
    <xf numFmtId="0" fontId="28" fillId="10" borderId="0" xfId="0" applyFont="1" applyFill="1" applyAlignment="1">
      <alignment horizontal="center" wrapText="1"/>
    </xf>
    <xf numFmtId="0" fontId="29" fillId="11" borderId="0" xfId="0" applyFont="1" applyFill="1" applyAlignment="1">
      <alignment horizontal="center" wrapText="1"/>
    </xf>
    <xf numFmtId="0" fontId="27" fillId="3" borderId="0" xfId="0" applyFont="1" applyFill="1" applyAlignment="1">
      <alignment horizontal="center"/>
    </xf>
    <xf numFmtId="0" fontId="49" fillId="0" borderId="0" xfId="0" applyFont="1" applyAlignment="1">
      <alignment horizontal="center" wrapText="1"/>
    </xf>
    <xf numFmtId="0" fontId="19" fillId="0" borderId="13" xfId="0" applyFont="1" applyFill="1" applyBorder="1" applyAlignment="1">
      <alignment horizontal="left"/>
    </xf>
    <xf numFmtId="166" fontId="57" fillId="0" borderId="0" xfId="0" applyNumberFormat="1" applyFont="1"/>
    <xf numFmtId="0" fontId="0" fillId="14" borderId="0" xfId="0" applyFont="1" applyFill="1"/>
    <xf numFmtId="0" fontId="0" fillId="0" borderId="0" xfId="0" applyFont="1" applyFill="1"/>
    <xf numFmtId="0" fontId="0" fillId="0" borderId="0" xfId="0" applyFont="1"/>
    <xf numFmtId="0" fontId="58" fillId="14" borderId="0" xfId="0" applyFont="1" applyFill="1" applyAlignment="1">
      <alignment vertical="center"/>
    </xf>
    <xf numFmtId="0" fontId="21" fillId="14" borderId="0" xfId="0" applyFont="1" applyFill="1" applyAlignment="1">
      <alignment vertical="center"/>
    </xf>
    <xf numFmtId="168" fontId="58" fillId="14" borderId="0" xfId="1" applyNumberFormat="1" applyFont="1" applyFill="1" applyAlignment="1">
      <alignment vertical="center"/>
    </xf>
    <xf numFmtId="168" fontId="59" fillId="14" borderId="0" xfId="1" applyNumberFormat="1" applyFont="1" applyFill="1" applyAlignment="1">
      <alignment vertical="center"/>
    </xf>
    <xf numFmtId="9" fontId="21" fillId="14" borderId="0" xfId="3" applyFont="1" applyFill="1" applyAlignment="1">
      <alignment vertical="center"/>
    </xf>
    <xf numFmtId="166" fontId="0" fillId="0" borderId="0" xfId="0" applyNumberFormat="1" applyFont="1"/>
    <xf numFmtId="166" fontId="21" fillId="0" borderId="0" xfId="0" applyNumberFormat="1" applyFont="1"/>
    <xf numFmtId="166" fontId="6" fillId="0" borderId="0" xfId="0" applyNumberFormat="1" applyFont="1"/>
    <xf numFmtId="43" fontId="5" fillId="0" borderId="0" xfId="1" applyFont="1"/>
    <xf numFmtId="6" fontId="0" fillId="0" borderId="0" xfId="0" applyNumberFormat="1" applyFont="1"/>
    <xf numFmtId="9" fontId="5" fillId="0" borderId="0" xfId="3" applyFont="1"/>
    <xf numFmtId="0" fontId="0" fillId="8" borderId="0" xfId="0" applyFont="1" applyFill="1"/>
    <xf numFmtId="0" fontId="58" fillId="8" borderId="0" xfId="0" applyFont="1" applyFill="1" applyAlignment="1">
      <alignment vertical="center"/>
    </xf>
    <xf numFmtId="0" fontId="22" fillId="8" borderId="0" xfId="0" applyFont="1" applyFill="1" applyAlignment="1">
      <alignment vertical="center"/>
    </xf>
    <xf numFmtId="168" fontId="58" fillId="8" borderId="0" xfId="1" applyNumberFormat="1" applyFont="1" applyFill="1" applyAlignment="1">
      <alignment vertical="center"/>
    </xf>
    <xf numFmtId="168" fontId="59" fillId="8" borderId="0" xfId="1" applyNumberFormat="1" applyFont="1" applyFill="1" applyAlignment="1">
      <alignment vertical="center"/>
    </xf>
    <xf numFmtId="9" fontId="2" fillId="8" borderId="0" xfId="3" applyFont="1" applyFill="1" applyAlignment="1">
      <alignment vertical="center"/>
    </xf>
    <xf numFmtId="166" fontId="22" fillId="0" borderId="0" xfId="0" applyNumberFormat="1" applyFont="1"/>
    <xf numFmtId="44" fontId="0" fillId="0" borderId="0" xfId="0" applyNumberFormat="1" applyFont="1"/>
    <xf numFmtId="173" fontId="0" fillId="0" borderId="0" xfId="0" applyNumberFormat="1" applyFont="1"/>
    <xf numFmtId="3" fontId="0" fillId="0" borderId="0" xfId="0" applyNumberFormat="1"/>
    <xf numFmtId="168" fontId="0" fillId="0" borderId="0" xfId="1" applyNumberFormat="1" applyFont="1"/>
    <xf numFmtId="168" fontId="0" fillId="0" borderId="0" xfId="1" applyNumberFormat="1" applyFont="1" applyAlignment="1">
      <alignment horizontal="center"/>
    </xf>
    <xf numFmtId="168" fontId="6" fillId="0" borderId="16" xfId="1" applyNumberFormat="1" applyFont="1" applyBorder="1"/>
    <xf numFmtId="168" fontId="0" fillId="0" borderId="0" xfId="0" applyNumberFormat="1" applyBorder="1"/>
    <xf numFmtId="0" fontId="0" fillId="0" borderId="0" xfId="0" applyAlignment="1">
      <alignment horizontal="right"/>
    </xf>
    <xf numFmtId="168" fontId="0" fillId="0" borderId="0" xfId="0" applyNumberFormat="1"/>
    <xf numFmtId="168" fontId="0" fillId="16" borderId="0" xfId="1" applyNumberFormat="1" applyFont="1" applyFill="1"/>
    <xf numFmtId="168" fontId="0" fillId="16" borderId="0" xfId="1" applyNumberFormat="1" applyFont="1" applyFill="1" applyAlignment="1">
      <alignment horizontal="center"/>
    </xf>
    <xf numFmtId="168" fontId="6" fillId="0" borderId="16" xfId="0" applyNumberFormat="1" applyFont="1" applyBorder="1"/>
    <xf numFmtId="0" fontId="16" fillId="17" borderId="0" xfId="0" applyFont="1" applyFill="1"/>
    <xf numFmtId="0" fontId="16" fillId="17" borderId="0" xfId="0" applyFont="1" applyFill="1" applyAlignment="1">
      <alignment horizontal="right"/>
    </xf>
    <xf numFmtId="0" fontId="0" fillId="0" borderId="17" xfId="0" applyBorder="1"/>
    <xf numFmtId="0" fontId="16" fillId="18" borderId="18" xfId="0" applyFont="1" applyFill="1" applyBorder="1"/>
    <xf numFmtId="0" fontId="16" fillId="18" borderId="19" xfId="0" applyFont="1" applyFill="1" applyBorder="1" applyAlignment="1">
      <alignment horizontal="right"/>
    </xf>
    <xf numFmtId="0" fontId="0" fillId="0" borderId="20" xfId="0" applyBorder="1"/>
    <xf numFmtId="168" fontId="6" fillId="0" borderId="21" xfId="1" applyNumberFormat="1" applyFont="1" applyBorder="1"/>
    <xf numFmtId="0" fontId="0" fillId="0" borderId="22" xfId="0" applyBorder="1"/>
    <xf numFmtId="0" fontId="0" fillId="0" borderId="23" xfId="0" applyBorder="1"/>
    <xf numFmtId="0" fontId="6" fillId="0" borderId="23" xfId="0" applyFont="1" applyBorder="1"/>
    <xf numFmtId="168" fontId="6" fillId="0" borderId="24" xfId="0" applyNumberFormat="1" applyFont="1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5" xfId="0" applyBorder="1"/>
    <xf numFmtId="0" fontId="6" fillId="0" borderId="17" xfId="0" applyFont="1" applyBorder="1"/>
    <xf numFmtId="0" fontId="60" fillId="0" borderId="20" xfId="0" applyFont="1" applyBorder="1" applyAlignment="1">
      <alignment vertical="center"/>
    </xf>
    <xf numFmtId="0" fontId="0" fillId="0" borderId="0" xfId="0" applyFont="1" applyBorder="1"/>
    <xf numFmtId="0" fontId="61" fillId="0" borderId="20" xfId="0" applyFont="1" applyBorder="1" applyAlignment="1">
      <alignment vertical="center"/>
    </xf>
    <xf numFmtId="0" fontId="61" fillId="0" borderId="22" xfId="0" applyFont="1" applyBorder="1" applyAlignment="1">
      <alignment vertical="center"/>
    </xf>
    <xf numFmtId="0" fontId="0" fillId="0" borderId="23" xfId="0" applyFont="1" applyBorder="1"/>
  </cellXfs>
  <cellStyles count="15">
    <cellStyle name="CLT input" xfId="12"/>
    <cellStyle name="Comma" xfId="1" builtinId="3"/>
    <cellStyle name="Currency" xfId="2" builtinId="4"/>
    <cellStyle name="Followed Hyperlink" xfId="6" builtinId="9" hidden="1"/>
    <cellStyle name="Followed Hyperlink" xfId="8" builtinId="9" hidden="1"/>
    <cellStyle name="Followed Hyperlink" xfId="10" builtinId="9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OSB input" xfId="11"/>
    <cellStyle name="Percent" xfId="3" builtinId="5"/>
    <cellStyle name="PLV input" xfId="13"/>
    <cellStyle name="SSB input" xfId="4"/>
    <cellStyle name="SSB_Colo input" xfId="14"/>
  </cellStyles>
  <dxfs count="4">
    <dxf>
      <font>
        <b/>
        <i/>
        <color rgb="FFFF0000"/>
      </font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b/>
        <i/>
        <color rgb="FFFF0000"/>
      </font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b/>
        <i/>
        <color rgb="FFFF0000"/>
      </font>
      <border>
        <left style="dotted">
          <color rgb="FFFF0000"/>
        </left>
        <right style="dotted">
          <color rgb="FFFF0000"/>
        </right>
        <top style="dotted">
          <color rgb="FFFF0000"/>
        </top>
        <bottom style="dotted">
          <color rgb="FFFF0000"/>
        </bottom>
        <vertical/>
        <horizontal/>
      </border>
    </dxf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Operating</a:t>
            </a:r>
            <a:r>
              <a:rPr lang="en-US" baseline="0"/>
              <a:t> Cash Flow - Stand Alone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SSB!$F$61</c:f>
              <c:strCache>
                <c:ptCount val="1"/>
                <c:pt idx="0">
                  <c:v>Annual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SSB!$G$41:$P$41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SSB!$G$61:$P$61</c:f>
              <c:numCache>
                <c:formatCode>_("$"* #,##0_);_("$"* \(#,##0\);_("$"* "-"??_);_(@_)</c:formatCode>
                <c:ptCount val="10"/>
                <c:pt idx="0">
                  <c:v>-15200000</c:v>
                </c:pt>
                <c:pt idx="1">
                  <c:v>-6329794.375</c:v>
                </c:pt>
                <c:pt idx="2">
                  <c:v>2468621.53125</c:v>
                </c:pt>
                <c:pt idx="3">
                  <c:v>2395037.0695312503</c:v>
                </c:pt>
                <c:pt idx="4">
                  <c:v>2319612.9962695315</c:v>
                </c:pt>
                <c:pt idx="5">
                  <c:v>2242303.3211762705</c:v>
                </c:pt>
                <c:pt idx="6">
                  <c:v>2163060.9042056771</c:v>
                </c:pt>
                <c:pt idx="7">
                  <c:v>2081837.4268108197</c:v>
                </c:pt>
                <c:pt idx="8">
                  <c:v>1998583.3624810902</c:v>
                </c:pt>
                <c:pt idx="9">
                  <c:v>1913247.946543118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61856"/>
        <c:axId val="90363392"/>
      </c:barChart>
      <c:lineChart>
        <c:grouping val="standard"/>
        <c:varyColors val="0"/>
        <c:ser>
          <c:idx val="1"/>
          <c:order val="1"/>
          <c:tx>
            <c:strRef>
              <c:f>SSB!$F$62</c:f>
              <c:strCache>
                <c:ptCount val="1"/>
                <c:pt idx="0">
                  <c:v>Cumulative</c:v>
                </c:pt>
              </c:strCache>
            </c:strRef>
          </c:tx>
          <c:spPr>
            <a:ln w="3492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SSB!$G$41:$P$41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SSB!$G$62:$P$62</c:f>
              <c:numCache>
                <c:formatCode>_("$"* #,##0_);_("$"* \(#,##0\);_("$"* "-"??_);_(@_)</c:formatCode>
                <c:ptCount val="10"/>
                <c:pt idx="0">
                  <c:v>-15200000</c:v>
                </c:pt>
                <c:pt idx="1">
                  <c:v>-21529794.375</c:v>
                </c:pt>
                <c:pt idx="2">
                  <c:v>-19061172.84375</c:v>
                </c:pt>
                <c:pt idx="3">
                  <c:v>-16666135.774218749</c:v>
                </c:pt>
                <c:pt idx="4">
                  <c:v>-14346522.777949218</c:v>
                </c:pt>
                <c:pt idx="5">
                  <c:v>-12104219.456772948</c:v>
                </c:pt>
                <c:pt idx="6">
                  <c:v>-9941158.5525672697</c:v>
                </c:pt>
                <c:pt idx="7">
                  <c:v>-7859321.12575645</c:v>
                </c:pt>
                <c:pt idx="8">
                  <c:v>-5860737.7632753598</c:v>
                </c:pt>
                <c:pt idx="9">
                  <c:v>-3947489.8167322418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61856"/>
        <c:axId val="90363392"/>
      </c:lineChart>
      <c:catAx>
        <c:axId val="9036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363392"/>
        <c:crossesAt val="0"/>
        <c:auto val="0"/>
        <c:lblAlgn val="ctr"/>
        <c:lblOffset val="100"/>
        <c:noMultiLvlLbl val="0"/>
      </c:catAx>
      <c:valAx>
        <c:axId val="9036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361856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Operating</a:t>
            </a:r>
            <a:r>
              <a:rPr lang="en-US" baseline="0"/>
              <a:t> Cash Flow - Steam-Consuming Colocation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SSB!$R$61</c:f>
              <c:strCache>
                <c:ptCount val="1"/>
                <c:pt idx="0">
                  <c:v>Annual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 w="9525" cmpd="dbl"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SSB!$S$41:$AB$41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SSB!$S$61:$AB$61</c:f>
              <c:numCache>
                <c:formatCode>_("$"* #,##0_);_("$"* \(#,##0\);_("$"* "-"??_);_(@_)</c:formatCode>
                <c:ptCount val="10"/>
                <c:pt idx="0">
                  <c:v>-16040000</c:v>
                </c:pt>
                <c:pt idx="1">
                  <c:v>-6449776.875</c:v>
                </c:pt>
                <c:pt idx="2">
                  <c:v>3083657.40625</c:v>
                </c:pt>
                <c:pt idx="3">
                  <c:v>3025448.8414062499</c:v>
                </c:pt>
                <c:pt idx="4">
                  <c:v>2965785.0624414063</c:v>
                </c:pt>
                <c:pt idx="5">
                  <c:v>2904629.6890024417</c:v>
                </c:pt>
                <c:pt idx="6">
                  <c:v>2841945.4312275033</c:v>
                </c:pt>
                <c:pt idx="7">
                  <c:v>2777694.0670081908</c:v>
                </c:pt>
                <c:pt idx="8">
                  <c:v>2711836.4186833957</c:v>
                </c:pt>
                <c:pt idx="9">
                  <c:v>2644332.3291504811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13696"/>
        <c:axId val="90419584"/>
      </c:barChart>
      <c:lineChart>
        <c:grouping val="standard"/>
        <c:varyColors val="0"/>
        <c:ser>
          <c:idx val="1"/>
          <c:order val="1"/>
          <c:tx>
            <c:strRef>
              <c:f>SSB!$R$62</c:f>
              <c:strCache>
                <c:ptCount val="1"/>
                <c:pt idx="0">
                  <c:v>Cumulative</c:v>
                </c:pt>
              </c:strCache>
            </c:strRef>
          </c:tx>
          <c:spPr>
            <a:ln w="31750" cap="rnd" cmpd="dbl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SSB!$S$41:$AB$41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SSB!$S$62:$AB$62</c:f>
              <c:numCache>
                <c:formatCode>_("$"* #,##0_);_("$"* \(#,##0\);_("$"* "-"??_);_(@_)</c:formatCode>
                <c:ptCount val="10"/>
                <c:pt idx="0">
                  <c:v>-16040000</c:v>
                </c:pt>
                <c:pt idx="1">
                  <c:v>-22489776.875</c:v>
                </c:pt>
                <c:pt idx="2">
                  <c:v>-19406119.46875</c:v>
                </c:pt>
                <c:pt idx="3">
                  <c:v>-16380670.62734375</c:v>
                </c:pt>
                <c:pt idx="4">
                  <c:v>-13414885.564902343</c:v>
                </c:pt>
                <c:pt idx="5">
                  <c:v>-10510255.875899902</c:v>
                </c:pt>
                <c:pt idx="6">
                  <c:v>-7668310.4446723983</c:v>
                </c:pt>
                <c:pt idx="7">
                  <c:v>-4890616.3776642075</c:v>
                </c:pt>
                <c:pt idx="8">
                  <c:v>-2178779.9589808118</c:v>
                </c:pt>
                <c:pt idx="9">
                  <c:v>465552.37016966939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13696"/>
        <c:axId val="90419584"/>
      </c:lineChart>
      <c:catAx>
        <c:axId val="9041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419584"/>
        <c:crossesAt val="0"/>
        <c:auto val="0"/>
        <c:lblAlgn val="ctr"/>
        <c:lblOffset val="100"/>
        <c:noMultiLvlLbl val="0"/>
      </c:catAx>
      <c:valAx>
        <c:axId val="9041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413696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Operating</a:t>
            </a:r>
            <a:r>
              <a:rPr lang="en-US" baseline="0"/>
              <a:t> Cash Flow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469813663561349E-2"/>
          <c:y val="0.1157931920801737"/>
          <c:w val="0.90771305944930447"/>
          <c:h val="0.77845032212642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OSB!$E$70</c:f>
              <c:strCache>
                <c:ptCount val="1"/>
                <c:pt idx="0">
                  <c:v>Annual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OSB!$F$43:$O$43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OSB!$F$70:$O$70</c:f>
              <c:numCache>
                <c:formatCode>_("$"* #,##0_);_("$"* \(#,##0\);_("$"* "-"??_);_(@_)</c:formatCode>
                <c:ptCount val="10"/>
                <c:pt idx="0">
                  <c:v>-73866666.666666672</c:v>
                </c:pt>
                <c:pt idx="1">
                  <c:v>-73866666.666666672</c:v>
                </c:pt>
                <c:pt idx="2">
                  <c:v>-6681363.9194091894</c:v>
                </c:pt>
                <c:pt idx="3">
                  <c:v>23570605.494514957</c:v>
                </c:pt>
                <c:pt idx="4">
                  <c:v>23570605.494514957</c:v>
                </c:pt>
                <c:pt idx="5">
                  <c:v>23570605.494514957</c:v>
                </c:pt>
                <c:pt idx="6">
                  <c:v>23570605.494514957</c:v>
                </c:pt>
                <c:pt idx="7">
                  <c:v>23570605.494514957</c:v>
                </c:pt>
                <c:pt idx="8">
                  <c:v>23570605.494514957</c:v>
                </c:pt>
                <c:pt idx="9">
                  <c:v>23570605.494514957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01216"/>
        <c:axId val="91452160"/>
      </c:barChart>
      <c:lineChart>
        <c:grouping val="standard"/>
        <c:varyColors val="0"/>
        <c:ser>
          <c:idx val="1"/>
          <c:order val="1"/>
          <c:tx>
            <c:strRef>
              <c:f>OSB!$E$71</c:f>
              <c:strCache>
                <c:ptCount val="1"/>
                <c:pt idx="0">
                  <c:v>Cumulative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OSB!$F$43:$O$43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OSB!$F$71:$O$71</c:f>
              <c:numCache>
                <c:formatCode>_("$"* #,##0_);_("$"* \(#,##0\);_("$"* "-"??_);_(@_)</c:formatCode>
                <c:ptCount val="10"/>
                <c:pt idx="0">
                  <c:v>-73866666.666666672</c:v>
                </c:pt>
                <c:pt idx="1">
                  <c:v>-147733333.33333334</c:v>
                </c:pt>
                <c:pt idx="2">
                  <c:v>-154414697.25274253</c:v>
                </c:pt>
                <c:pt idx="3">
                  <c:v>-130844091.75822757</c:v>
                </c:pt>
                <c:pt idx="4">
                  <c:v>-107273486.26371261</c:v>
                </c:pt>
                <c:pt idx="5">
                  <c:v>-83702880.769197658</c:v>
                </c:pt>
                <c:pt idx="6">
                  <c:v>-60132275.274682701</c:v>
                </c:pt>
                <c:pt idx="7">
                  <c:v>-36561669.780167744</c:v>
                </c:pt>
                <c:pt idx="8">
                  <c:v>-12991064.285652786</c:v>
                </c:pt>
                <c:pt idx="9">
                  <c:v>10579541.208862171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1216"/>
        <c:axId val="91452160"/>
      </c:lineChart>
      <c:catAx>
        <c:axId val="9140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452160"/>
        <c:crossesAt val="0"/>
        <c:auto val="0"/>
        <c:lblAlgn val="ctr"/>
        <c:lblOffset val="100"/>
        <c:noMultiLvlLbl val="0"/>
      </c:catAx>
      <c:valAx>
        <c:axId val="9145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401216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Operating</a:t>
            </a:r>
            <a:r>
              <a:rPr lang="en-US" baseline="0"/>
              <a:t> Cash Flow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CLT!$E$67</c:f>
              <c:strCache>
                <c:ptCount val="1"/>
                <c:pt idx="0">
                  <c:v>Annual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CLT!$F$43:$O$43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CLT!$F$67:$O$67</c:f>
              <c:numCache>
                <c:formatCode>_("$"* #,##0_);_("$"* \(#,##0\);_("$"* "-"??_);_(@_)</c:formatCode>
                <c:ptCount val="10"/>
                <c:pt idx="0">
                  <c:v>-16700000</c:v>
                </c:pt>
                <c:pt idx="1">
                  <c:v>6464298.0000000037</c:v>
                </c:pt>
                <c:pt idx="2">
                  <c:v>8619064</c:v>
                </c:pt>
                <c:pt idx="3">
                  <c:v>8619064</c:v>
                </c:pt>
                <c:pt idx="4">
                  <c:v>8619064</c:v>
                </c:pt>
                <c:pt idx="5">
                  <c:v>8619064</c:v>
                </c:pt>
                <c:pt idx="6">
                  <c:v>8619064</c:v>
                </c:pt>
                <c:pt idx="7">
                  <c:v>8619064</c:v>
                </c:pt>
                <c:pt idx="8">
                  <c:v>8619064</c:v>
                </c:pt>
                <c:pt idx="9">
                  <c:v>8619064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20992"/>
        <c:axId val="91230976"/>
      </c:barChart>
      <c:lineChart>
        <c:grouping val="standard"/>
        <c:varyColors val="0"/>
        <c:ser>
          <c:idx val="1"/>
          <c:order val="1"/>
          <c:tx>
            <c:strRef>
              <c:f>CLT!$E$68</c:f>
              <c:strCache>
                <c:ptCount val="1"/>
                <c:pt idx="0">
                  <c:v>Cumulative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CLT!$F$43:$O$43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CLT!$F$68:$O$68</c:f>
              <c:numCache>
                <c:formatCode>_("$"* #,##0_);_("$"* \(#,##0\);_("$"* "-"??_);_(@_)</c:formatCode>
                <c:ptCount val="10"/>
                <c:pt idx="0">
                  <c:v>-16700000</c:v>
                </c:pt>
                <c:pt idx="1">
                  <c:v>-10235701.999999996</c:v>
                </c:pt>
                <c:pt idx="2">
                  <c:v>-1616637.9999999963</c:v>
                </c:pt>
                <c:pt idx="3">
                  <c:v>7002426.0000000037</c:v>
                </c:pt>
                <c:pt idx="4">
                  <c:v>15621490.000000004</c:v>
                </c:pt>
                <c:pt idx="5">
                  <c:v>24240554.000000004</c:v>
                </c:pt>
                <c:pt idx="6">
                  <c:v>32859618.000000004</c:v>
                </c:pt>
                <c:pt idx="7">
                  <c:v>41478682</c:v>
                </c:pt>
                <c:pt idx="8">
                  <c:v>50097746</c:v>
                </c:pt>
                <c:pt idx="9">
                  <c:v>58716810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1230976"/>
      </c:lineChart>
      <c:catAx>
        <c:axId val="9122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230976"/>
        <c:crossesAt val="0"/>
        <c:auto val="0"/>
        <c:lblAlgn val="ctr"/>
        <c:lblOffset val="100"/>
        <c:noMultiLvlLbl val="0"/>
      </c:catAx>
      <c:valAx>
        <c:axId val="9123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220992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Operating</a:t>
            </a:r>
            <a:r>
              <a:rPr lang="en-US" baseline="0"/>
              <a:t> Cash Flow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GV!$F$71</c:f>
              <c:strCache>
                <c:ptCount val="1"/>
                <c:pt idx="0">
                  <c:v>Annual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cat>
            <c:numRef>
              <c:f>GV!$G$44:$P$44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GV!$G$71:$P$71</c:f>
              <c:numCache>
                <c:formatCode>_("$"* #,##0_);_("$"* \(#,##0\);_("$"* "-"??_);_(@_)</c:formatCode>
                <c:ptCount val="10"/>
                <c:pt idx="0">
                  <c:v>-20000000</c:v>
                </c:pt>
                <c:pt idx="1">
                  <c:v>-7568170</c:v>
                </c:pt>
                <c:pt idx="2">
                  <c:v>4863660</c:v>
                </c:pt>
                <c:pt idx="3">
                  <c:v>4863660</c:v>
                </c:pt>
                <c:pt idx="4">
                  <c:v>4863660</c:v>
                </c:pt>
                <c:pt idx="5">
                  <c:v>4863660</c:v>
                </c:pt>
                <c:pt idx="6">
                  <c:v>4863660</c:v>
                </c:pt>
                <c:pt idx="7">
                  <c:v>4863660</c:v>
                </c:pt>
                <c:pt idx="8">
                  <c:v>4863660</c:v>
                </c:pt>
                <c:pt idx="9">
                  <c:v>4863660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09728"/>
        <c:axId val="91615616"/>
      </c:barChart>
      <c:lineChart>
        <c:grouping val="standard"/>
        <c:varyColors val="0"/>
        <c:ser>
          <c:idx val="1"/>
          <c:order val="1"/>
          <c:tx>
            <c:strRef>
              <c:f>GV!$F$72</c:f>
              <c:strCache>
                <c:ptCount val="1"/>
                <c:pt idx="0">
                  <c:v>Cumulative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GV!$G$44:$P$44</c:f>
              <c:numCache>
                <c:formatCode>General</c:formatCod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GV!$G$72:$P$72</c:f>
              <c:numCache>
                <c:formatCode>_("$"* #,##0_);_("$"* \(#,##0\);_("$"* "-"??_);_(@_)</c:formatCode>
                <c:ptCount val="10"/>
                <c:pt idx="0">
                  <c:v>-20000000</c:v>
                </c:pt>
                <c:pt idx="1">
                  <c:v>-27568170</c:v>
                </c:pt>
                <c:pt idx="2">
                  <c:v>-22704510</c:v>
                </c:pt>
                <c:pt idx="3">
                  <c:v>-17840850</c:v>
                </c:pt>
                <c:pt idx="4">
                  <c:v>-12977190</c:v>
                </c:pt>
                <c:pt idx="5">
                  <c:v>-8113530</c:v>
                </c:pt>
                <c:pt idx="6">
                  <c:v>-3249870</c:v>
                </c:pt>
                <c:pt idx="7">
                  <c:v>1613790</c:v>
                </c:pt>
                <c:pt idx="8">
                  <c:v>6477450</c:v>
                </c:pt>
                <c:pt idx="9">
                  <c:v>11341110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09728"/>
        <c:axId val="91615616"/>
      </c:lineChart>
      <c:catAx>
        <c:axId val="9160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615616"/>
        <c:crossesAt val="0"/>
        <c:auto val="0"/>
        <c:lblAlgn val="ctr"/>
        <c:lblOffset val="100"/>
        <c:noMultiLvlLbl val="0"/>
      </c:catAx>
      <c:valAx>
        <c:axId val="9161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609728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4930</xdr:colOff>
      <xdr:row>17</xdr:row>
      <xdr:rowOff>180417</xdr:rowOff>
    </xdr:from>
    <xdr:to>
      <xdr:col>15</xdr:col>
      <xdr:colOff>784710</xdr:colOff>
      <xdr:row>39</xdr:row>
      <xdr:rowOff>156137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4930</xdr:colOff>
      <xdr:row>17</xdr:row>
      <xdr:rowOff>180417</xdr:rowOff>
    </xdr:from>
    <xdr:to>
      <xdr:col>27</xdr:col>
      <xdr:colOff>784710</xdr:colOff>
      <xdr:row>39</xdr:row>
      <xdr:rowOff>156137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76200</xdr:rowOff>
    </xdr:from>
    <xdr:to>
      <xdr:col>14</xdr:col>
      <xdr:colOff>916940</xdr:colOff>
      <xdr:row>39</xdr:row>
      <xdr:rowOff>12699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140151</xdr:rowOff>
    </xdr:from>
    <xdr:to>
      <xdr:col>15</xdr:col>
      <xdr:colOff>2540</xdr:colOff>
      <xdr:row>38</xdr:row>
      <xdr:rowOff>154631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231588</xdr:colOff>
      <xdr:row>16</xdr:row>
      <xdr:rowOff>8965</xdr:rowOff>
    </xdr:from>
    <xdr:to>
      <xdr:col>15</xdr:col>
      <xdr:colOff>909469</xdr:colOff>
      <xdr:row>39</xdr:row>
      <xdr:rowOff>139699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55"/>
  <sheetViews>
    <sheetView tabSelected="1" zoomScale="90" zoomScaleNormal="90" workbookViewId="0">
      <pane ySplit="5" topLeftCell="A6" activePane="bottomLeft" state="frozen"/>
      <selection pane="bottomLeft" activeCell="A54" sqref="A54"/>
    </sheetView>
  </sheetViews>
  <sheetFormatPr defaultColWidth="8.7109375" defaultRowHeight="12.75" x14ac:dyDescent="0.2"/>
  <cols>
    <col min="1" max="1" width="33.7109375" customWidth="1"/>
    <col min="2" max="3" width="16.42578125" customWidth="1"/>
    <col min="4" max="6" width="17.28515625" customWidth="1"/>
    <col min="7" max="7" width="14.7109375" customWidth="1"/>
    <col min="8" max="8" width="20.140625" customWidth="1"/>
    <col min="9" max="9" width="17" customWidth="1"/>
    <col min="10" max="13" width="13.140625" customWidth="1"/>
    <col min="14" max="14" width="14.7109375" customWidth="1"/>
  </cols>
  <sheetData>
    <row r="1" spans="1:18" s="27" customFormat="1" x14ac:dyDescent="0.2">
      <c r="A1" s="26" t="s">
        <v>2</v>
      </c>
    </row>
    <row r="2" spans="1:18" s="27" customFormat="1" x14ac:dyDescent="0.2">
      <c r="A2" s="26" t="s">
        <v>0</v>
      </c>
    </row>
    <row r="3" spans="1:18" s="27" customFormat="1" x14ac:dyDescent="0.2">
      <c r="A3" s="26" t="s">
        <v>1</v>
      </c>
    </row>
    <row r="4" spans="1:18" s="27" customFormat="1" x14ac:dyDescent="0.2">
      <c r="A4" s="28" t="s">
        <v>42</v>
      </c>
    </row>
    <row r="5" spans="1:18" s="27" customFormat="1" x14ac:dyDescent="0.2">
      <c r="A5" s="201" t="s">
        <v>279</v>
      </c>
    </row>
    <row r="8" spans="1:18" x14ac:dyDescent="0.2">
      <c r="B8" s="224" t="s">
        <v>181</v>
      </c>
      <c r="C8" s="224"/>
      <c r="D8" s="221" t="s">
        <v>43</v>
      </c>
      <c r="E8" s="222" t="s">
        <v>6</v>
      </c>
      <c r="F8" s="223" t="s">
        <v>194</v>
      </c>
    </row>
    <row r="9" spans="1:18" s="55" customFormat="1" ht="25.5" x14ac:dyDescent="0.2">
      <c r="B9" s="122" t="str">
        <f>SSB!C13</f>
        <v>Stand-Alone (Electricity Only)</v>
      </c>
      <c r="C9" s="122" t="str">
        <f>SSB!D13</f>
        <v>Steam-Consuming Colocation</v>
      </c>
      <c r="D9" s="221"/>
      <c r="E9" s="222"/>
      <c r="F9" s="223"/>
    </row>
    <row r="10" spans="1:18" x14ac:dyDescent="0.2">
      <c r="A10" t="s">
        <v>176</v>
      </c>
      <c r="B10" s="92">
        <f>SSB_SA_CapX</f>
        <v>22800000</v>
      </c>
      <c r="C10" s="92">
        <f>SSB_CapX</f>
        <v>24060000</v>
      </c>
      <c r="D10" s="88">
        <f>OSB_CapX</f>
        <v>166200000</v>
      </c>
      <c r="E10" s="84">
        <f>CLT_CapX</f>
        <v>16700000</v>
      </c>
      <c r="F10" s="109">
        <f>GV_CapX</f>
        <v>30000000</v>
      </c>
    </row>
    <row r="11" spans="1:18" x14ac:dyDescent="0.2">
      <c r="A11" t="s">
        <v>178</v>
      </c>
      <c r="B11" s="92">
        <f>SSB_SA_OCF</f>
        <v>1913247.946543118</v>
      </c>
      <c r="C11" s="92">
        <f>SSB_OCF</f>
        <v>2644332.3291504811</v>
      </c>
      <c r="D11" s="88">
        <f>OSB_OCF</f>
        <v>23570605.494514957</v>
      </c>
      <c r="E11" s="84">
        <f>CLT_OCF</f>
        <v>8619064</v>
      </c>
      <c r="F11" s="109">
        <f>GV_OCF</f>
        <v>4863660</v>
      </c>
    </row>
    <row r="12" spans="1:18" x14ac:dyDescent="0.2">
      <c r="A12" t="s">
        <v>255</v>
      </c>
      <c r="B12" s="92">
        <f>SSB_SA_NPV</f>
        <v>-2480606.9885337148</v>
      </c>
      <c r="C12" s="92">
        <f>SSB_NPV</f>
        <v>2358518.7377808355</v>
      </c>
      <c r="D12" s="88">
        <f>OSB_NPV</f>
        <v>35609939.599201262</v>
      </c>
      <c r="E12" s="84">
        <f>CLT_NPV</f>
        <v>58371581.392561913</v>
      </c>
      <c r="F12" s="109">
        <f>GV_NPV</f>
        <v>14054349.898699544</v>
      </c>
    </row>
    <row r="13" spans="1:18" ht="12.6" customHeight="1" thickBot="1" x14ac:dyDescent="0.25">
      <c r="A13" t="s">
        <v>193</v>
      </c>
      <c r="B13" s="93" t="s">
        <v>177</v>
      </c>
      <c r="C13" s="93" t="s">
        <v>177</v>
      </c>
      <c r="D13" s="89">
        <f>OSB_MktShare</f>
        <v>0.16210976007851485</v>
      </c>
      <c r="E13" s="85">
        <f>CLT_MktShare</f>
        <v>0.17886178861788621</v>
      </c>
      <c r="F13" s="110">
        <f>GV_MktShare</f>
        <v>0.26560745658674728</v>
      </c>
    </row>
    <row r="14" spans="1:18" hidden="1" x14ac:dyDescent="0.2">
      <c r="A14" t="s">
        <v>174</v>
      </c>
      <c r="B14" s="93">
        <f ca="1">SSB_SA_BEmonths</f>
        <v>145</v>
      </c>
      <c r="C14" s="93">
        <f ca="1">SSB_BEmonths</f>
        <v>118</v>
      </c>
      <c r="D14" s="90">
        <f ca="1">OSB_BEmonths</f>
        <v>115</v>
      </c>
      <c r="E14" s="86">
        <f ca="1">CLT_BEmonths</f>
        <v>39</v>
      </c>
      <c r="F14" s="111">
        <f ca="1">GV_BEmonths</f>
        <v>93</v>
      </c>
    </row>
    <row r="15" spans="1:18" x14ac:dyDescent="0.2">
      <c r="A15" t="s">
        <v>175</v>
      </c>
      <c r="B15" s="94">
        <f ca="1">B14/12</f>
        <v>12.083333333333334</v>
      </c>
      <c r="C15" s="94">
        <f ca="1">C14/12</f>
        <v>9.8333333333333339</v>
      </c>
      <c r="D15" s="91">
        <f t="shared" ref="D15:E15" ca="1" si="0">D14/12</f>
        <v>9.5833333333333339</v>
      </c>
      <c r="E15" s="87">
        <f t="shared" ca="1" si="0"/>
        <v>3.25</v>
      </c>
      <c r="F15" s="112">
        <f t="shared" ref="F15" ca="1" si="1">F14/12</f>
        <v>7.75</v>
      </c>
      <c r="L15" s="276" t="s">
        <v>324</v>
      </c>
      <c r="M15" s="272"/>
      <c r="N15" s="272"/>
      <c r="O15" s="272"/>
      <c r="P15" s="272"/>
      <c r="Q15" s="272"/>
      <c r="R15" s="273"/>
    </row>
    <row r="16" spans="1:18" x14ac:dyDescent="0.2">
      <c r="A16" s="7"/>
      <c r="B16" s="215"/>
      <c r="C16" s="215"/>
      <c r="D16" s="216"/>
      <c r="E16" s="217"/>
      <c r="F16" s="218"/>
      <c r="L16" s="277" t="s">
        <v>329</v>
      </c>
      <c r="M16" s="278"/>
      <c r="N16" s="278"/>
      <c r="O16" s="193"/>
      <c r="P16" s="193"/>
      <c r="Q16" s="193"/>
      <c r="R16" s="274"/>
    </row>
    <row r="17" spans="1:18" x14ac:dyDescent="0.2">
      <c r="L17" s="279" t="s">
        <v>306</v>
      </c>
      <c r="M17" s="278"/>
      <c r="N17" s="278"/>
      <c r="O17" s="193"/>
      <c r="P17" s="193"/>
      <c r="Q17" s="193"/>
      <c r="R17" s="274"/>
    </row>
    <row r="18" spans="1:18" x14ac:dyDescent="0.2">
      <c r="L18" s="279" t="s">
        <v>307</v>
      </c>
      <c r="M18" s="278"/>
      <c r="N18" s="278"/>
      <c r="O18" s="193"/>
      <c r="P18" s="193"/>
      <c r="Q18" s="193"/>
      <c r="R18" s="274"/>
    </row>
    <row r="19" spans="1:18" x14ac:dyDescent="0.2">
      <c r="A19" s="261" t="s">
        <v>285</v>
      </c>
      <c r="B19" s="262" t="s">
        <v>282</v>
      </c>
      <c r="C19" s="262" t="s">
        <v>283</v>
      </c>
      <c r="D19" s="262" t="s">
        <v>284</v>
      </c>
      <c r="E19" s="262" t="s">
        <v>319</v>
      </c>
      <c r="L19" s="279" t="s">
        <v>308</v>
      </c>
      <c r="M19" s="278"/>
      <c r="N19" s="278"/>
      <c r="O19" s="193"/>
      <c r="P19" s="193"/>
      <c r="Q19" s="193"/>
      <c r="R19" s="274"/>
    </row>
    <row r="20" spans="1:18" x14ac:dyDescent="0.2">
      <c r="A20" s="20" t="s">
        <v>292</v>
      </c>
      <c r="L20" s="279" t="s">
        <v>309</v>
      </c>
      <c r="M20" s="278"/>
      <c r="N20" s="278"/>
      <c r="O20" s="193"/>
      <c r="P20" s="193"/>
      <c r="Q20" s="193"/>
      <c r="R20" s="274"/>
    </row>
    <row r="21" spans="1:18" x14ac:dyDescent="0.2">
      <c r="A21" t="s">
        <v>286</v>
      </c>
      <c r="B21" s="258">
        <v>200000000</v>
      </c>
      <c r="C21" s="259">
        <v>6</v>
      </c>
      <c r="D21" s="258">
        <f>C21*B21</f>
        <v>1200000000</v>
      </c>
      <c r="E21" t="s">
        <v>287</v>
      </c>
      <c r="L21" s="277" t="s">
        <v>310</v>
      </c>
      <c r="M21" s="278"/>
      <c r="N21" s="278"/>
      <c r="O21" s="193"/>
      <c r="P21" s="193"/>
      <c r="Q21" s="193"/>
      <c r="R21" s="274"/>
    </row>
    <row r="22" spans="1:18" x14ac:dyDescent="0.2">
      <c r="A22" t="s">
        <v>290</v>
      </c>
      <c r="B22" s="252">
        <f>C10</f>
        <v>24060000</v>
      </c>
      <c r="C22" s="253">
        <v>30</v>
      </c>
      <c r="D22" s="252">
        <f t="shared" ref="D22:D24" si="2">C22*B22</f>
        <v>721800000</v>
      </c>
      <c r="L22" s="279" t="s">
        <v>311</v>
      </c>
      <c r="M22" s="278"/>
      <c r="N22" s="278"/>
      <c r="O22" s="193"/>
      <c r="P22" s="193"/>
      <c r="Q22" s="193"/>
      <c r="R22" s="274"/>
    </row>
    <row r="23" spans="1:18" x14ac:dyDescent="0.2">
      <c r="A23" t="s">
        <v>288</v>
      </c>
      <c r="B23" s="252">
        <f>E10</f>
        <v>16700000</v>
      </c>
      <c r="C23" s="253">
        <v>6</v>
      </c>
      <c r="D23" s="252">
        <f t="shared" si="2"/>
        <v>100200000</v>
      </c>
      <c r="I23" s="252"/>
      <c r="L23" s="279" t="s">
        <v>312</v>
      </c>
      <c r="M23" s="278"/>
      <c r="N23" s="278"/>
      <c r="O23" s="193"/>
      <c r="P23" s="193"/>
      <c r="Q23" s="193"/>
      <c r="R23" s="274"/>
    </row>
    <row r="24" spans="1:18" x14ac:dyDescent="0.2">
      <c r="A24" t="s">
        <v>289</v>
      </c>
      <c r="B24" s="252">
        <f>D10</f>
        <v>166200000</v>
      </c>
      <c r="C24" s="253">
        <v>4</v>
      </c>
      <c r="D24" s="252">
        <f t="shared" si="2"/>
        <v>664800000</v>
      </c>
      <c r="I24" s="252"/>
      <c r="L24" s="279" t="s">
        <v>313</v>
      </c>
      <c r="M24" s="278"/>
      <c r="N24" s="278"/>
      <c r="O24" s="193"/>
      <c r="P24" s="193"/>
      <c r="Q24" s="193"/>
      <c r="R24" s="274"/>
    </row>
    <row r="25" spans="1:18" x14ac:dyDescent="0.2">
      <c r="A25" s="20" t="s">
        <v>291</v>
      </c>
      <c r="B25" s="252"/>
      <c r="C25" s="252"/>
      <c r="D25" s="254">
        <f>SUM(D21:D24)</f>
        <v>2686800000</v>
      </c>
      <c r="I25" s="252"/>
      <c r="L25" s="279" t="s">
        <v>314</v>
      </c>
      <c r="M25" s="278"/>
      <c r="N25" s="278"/>
      <c r="O25" s="193"/>
      <c r="P25" s="193"/>
      <c r="Q25" s="193"/>
      <c r="R25" s="274"/>
    </row>
    <row r="26" spans="1:18" x14ac:dyDescent="0.2">
      <c r="B26" s="252"/>
      <c r="C26" s="252"/>
      <c r="D26" s="252"/>
      <c r="I26" s="252"/>
      <c r="L26" s="279"/>
      <c r="M26" s="278"/>
      <c r="N26" s="278"/>
      <c r="O26" s="193"/>
      <c r="P26" s="193"/>
      <c r="Q26" s="193"/>
      <c r="R26" s="274"/>
    </row>
    <row r="27" spans="1:18" x14ac:dyDescent="0.2">
      <c r="A27" s="20" t="s">
        <v>294</v>
      </c>
      <c r="B27" s="252"/>
      <c r="C27" s="252"/>
      <c r="D27" s="252"/>
      <c r="I27" s="252"/>
      <c r="L27" s="279" t="s">
        <v>315</v>
      </c>
      <c r="M27" s="278"/>
      <c r="N27" s="278"/>
      <c r="O27" s="193"/>
      <c r="P27" s="193"/>
      <c r="Q27" s="193"/>
      <c r="R27" s="274"/>
    </row>
    <row r="28" spans="1:18" x14ac:dyDescent="0.2">
      <c r="A28" t="s">
        <v>286</v>
      </c>
      <c r="B28" s="258">
        <v>0</v>
      </c>
      <c r="C28" s="259">
        <v>6</v>
      </c>
      <c r="D28" s="258">
        <f>C28*B28</f>
        <v>0</v>
      </c>
      <c r="I28" s="252"/>
      <c r="L28" s="279" t="s">
        <v>326</v>
      </c>
      <c r="M28" s="278"/>
      <c r="N28" s="278"/>
      <c r="O28" s="193"/>
      <c r="P28" s="193"/>
      <c r="Q28" s="193"/>
      <c r="R28" s="274"/>
    </row>
    <row r="29" spans="1:18" x14ac:dyDescent="0.2">
      <c r="A29" t="s">
        <v>290</v>
      </c>
      <c r="B29" s="252">
        <f>C11</f>
        <v>2644332.3291504811</v>
      </c>
      <c r="C29" s="253">
        <v>30</v>
      </c>
      <c r="D29" s="252">
        <f t="shared" ref="D29:D31" si="3">C29*B29</f>
        <v>79329969.874514431</v>
      </c>
      <c r="I29" s="252"/>
      <c r="L29" s="279" t="s">
        <v>316</v>
      </c>
      <c r="M29" s="278"/>
      <c r="N29" s="278"/>
      <c r="O29" s="193"/>
      <c r="P29" s="193"/>
      <c r="Q29" s="193"/>
      <c r="R29" s="274"/>
    </row>
    <row r="30" spans="1:18" ht="13.5" thickBot="1" x14ac:dyDescent="0.25">
      <c r="A30" t="s">
        <v>288</v>
      </c>
      <c r="B30" s="252">
        <f>E11</f>
        <v>8619064</v>
      </c>
      <c r="C30" s="253">
        <v>6</v>
      </c>
      <c r="D30" s="252">
        <f t="shared" si="3"/>
        <v>51714384</v>
      </c>
      <c r="L30" s="280" t="s">
        <v>317</v>
      </c>
      <c r="M30" s="281"/>
      <c r="N30" s="281"/>
      <c r="O30" s="269"/>
      <c r="P30" s="269"/>
      <c r="Q30" s="269"/>
      <c r="R30" s="275"/>
    </row>
    <row r="31" spans="1:18" x14ac:dyDescent="0.2">
      <c r="A31" t="s">
        <v>289</v>
      </c>
      <c r="B31" s="252">
        <f>D11</f>
        <v>23570605.494514957</v>
      </c>
      <c r="C31" s="253">
        <v>4</v>
      </c>
      <c r="D31" s="252">
        <f t="shared" si="3"/>
        <v>94282421.978059828</v>
      </c>
    </row>
    <row r="32" spans="1:18" x14ac:dyDescent="0.2">
      <c r="A32" s="20" t="s">
        <v>293</v>
      </c>
      <c r="D32" s="260">
        <f>SUM(D28:D31)</f>
        <v>225326775.85257426</v>
      </c>
    </row>
    <row r="33" spans="1:14" x14ac:dyDescent="0.2">
      <c r="D33" s="255"/>
    </row>
    <row r="34" spans="1:14" x14ac:dyDescent="0.2">
      <c r="A34" s="20" t="s">
        <v>255</v>
      </c>
      <c r="E34" t="s">
        <v>298</v>
      </c>
    </row>
    <row r="35" spans="1:14" x14ac:dyDescent="0.2">
      <c r="A35" t="s">
        <v>286</v>
      </c>
      <c r="B35" s="258">
        <v>0</v>
      </c>
      <c r="C35" s="259">
        <v>6</v>
      </c>
      <c r="D35" s="258">
        <f>C35*B35</f>
        <v>0</v>
      </c>
    </row>
    <row r="36" spans="1:14" x14ac:dyDescent="0.2">
      <c r="A36" t="s">
        <v>290</v>
      </c>
      <c r="B36" s="252">
        <f>C12</f>
        <v>2358518.7377808355</v>
      </c>
      <c r="C36" s="253">
        <v>30</v>
      </c>
      <c r="D36" s="252">
        <f t="shared" ref="D36:D38" si="4">C36*B36</f>
        <v>70755562.133425057</v>
      </c>
    </row>
    <row r="37" spans="1:14" x14ac:dyDescent="0.2">
      <c r="A37" t="s">
        <v>288</v>
      </c>
      <c r="B37" s="252">
        <f>E12</f>
        <v>58371581.392561913</v>
      </c>
      <c r="C37" s="253">
        <v>6</v>
      </c>
      <c r="D37" s="252">
        <f t="shared" si="4"/>
        <v>350229488.35537148</v>
      </c>
    </row>
    <row r="38" spans="1:14" x14ac:dyDescent="0.2">
      <c r="A38" t="s">
        <v>289</v>
      </c>
      <c r="B38" s="252">
        <f>D12</f>
        <v>35609939.599201262</v>
      </c>
      <c r="C38" s="253">
        <v>4</v>
      </c>
      <c r="D38" s="252">
        <f t="shared" si="4"/>
        <v>142439758.39680505</v>
      </c>
    </row>
    <row r="39" spans="1:14" x14ac:dyDescent="0.2">
      <c r="A39" s="20" t="s">
        <v>295</v>
      </c>
      <c r="D39" s="260">
        <f>SUM(D35:D38)</f>
        <v>563424808.88560152</v>
      </c>
      <c r="E39" t="s">
        <v>318</v>
      </c>
    </row>
    <row r="40" spans="1:14" x14ac:dyDescent="0.2">
      <c r="E40" t="s">
        <v>325</v>
      </c>
    </row>
    <row r="41" spans="1:14" x14ac:dyDescent="0.2">
      <c r="A41" s="20" t="s">
        <v>328</v>
      </c>
      <c r="C41" s="256"/>
      <c r="D41" s="256"/>
    </row>
    <row r="42" spans="1:14" x14ac:dyDescent="0.2">
      <c r="A42" t="s">
        <v>296</v>
      </c>
      <c r="B42" s="252">
        <v>1160000</v>
      </c>
      <c r="C42" s="252"/>
      <c r="D42" s="252"/>
    </row>
    <row r="43" spans="1:14" x14ac:dyDescent="0.2">
      <c r="A43" t="s">
        <v>297</v>
      </c>
      <c r="B43" s="252">
        <f>B42*5</f>
        <v>5800000</v>
      </c>
    </row>
    <row r="44" spans="1:14" x14ac:dyDescent="0.2">
      <c r="A44" t="s">
        <v>299</v>
      </c>
      <c r="B44" s="251">
        <v>20000000</v>
      </c>
    </row>
    <row r="45" spans="1:14" ht="13.5" thickBot="1" x14ac:dyDescent="0.25">
      <c r="A45" t="s">
        <v>300</v>
      </c>
      <c r="B45" s="251">
        <v>4000000</v>
      </c>
      <c r="H45" s="20" t="s">
        <v>327</v>
      </c>
    </row>
    <row r="46" spans="1:14" x14ac:dyDescent="0.2">
      <c r="A46" t="s">
        <v>302</v>
      </c>
      <c r="B46" s="251">
        <f>N49</f>
        <v>6905969453.9264011</v>
      </c>
      <c r="H46" s="263"/>
      <c r="I46" s="264">
        <v>2018</v>
      </c>
      <c r="J46" s="264">
        <v>2019</v>
      </c>
      <c r="K46" s="264">
        <v>2020</v>
      </c>
      <c r="L46" s="264">
        <v>2021</v>
      </c>
      <c r="M46" s="264">
        <v>2022</v>
      </c>
      <c r="N46" s="265" t="s">
        <v>210</v>
      </c>
    </row>
    <row r="47" spans="1:14" x14ac:dyDescent="0.2">
      <c r="A47" t="s">
        <v>301</v>
      </c>
      <c r="B47" s="252">
        <v>16000000</v>
      </c>
      <c r="H47" s="266" t="s">
        <v>304</v>
      </c>
      <c r="I47" s="199">
        <f>1100*1.04</f>
        <v>1144</v>
      </c>
      <c r="J47" s="199">
        <f>I47*1.02</f>
        <v>1166.8800000000001</v>
      </c>
      <c r="K47" s="199">
        <f>J47*1.02</f>
        <v>1190.2176000000002</v>
      </c>
      <c r="L47" s="199">
        <f>K47*1.02</f>
        <v>1214.0219520000003</v>
      </c>
      <c r="M47" s="199">
        <f>L47*1.02</f>
        <v>1238.3023910400002</v>
      </c>
      <c r="N47" s="267">
        <f>SUM(I47:M47)</f>
        <v>5953.4219430400008</v>
      </c>
    </row>
    <row r="48" spans="1:14" x14ac:dyDescent="0.2">
      <c r="A48" t="s">
        <v>303</v>
      </c>
      <c r="B48" s="251">
        <f>N52</f>
        <v>7685326508.2880001</v>
      </c>
      <c r="H48" s="266" t="s">
        <v>320</v>
      </c>
      <c r="I48" s="199">
        <v>1160000</v>
      </c>
      <c r="J48" s="199">
        <v>1160000</v>
      </c>
      <c r="K48" s="199">
        <v>1160000</v>
      </c>
      <c r="L48" s="199">
        <v>1160000</v>
      </c>
      <c r="M48" s="199">
        <v>1160000</v>
      </c>
      <c r="N48" s="267">
        <f t="shared" ref="N48:N52" si="5">SUM(I48:M48)</f>
        <v>5800000</v>
      </c>
    </row>
    <row r="49" spans="1:15" x14ac:dyDescent="0.2">
      <c r="A49" t="s">
        <v>323</v>
      </c>
      <c r="B49" s="251">
        <f>N53</f>
        <v>14591295962.214401</v>
      </c>
      <c r="H49" s="266" t="s">
        <v>302</v>
      </c>
      <c r="I49" s="199">
        <f>I48*I47</f>
        <v>1327040000</v>
      </c>
      <c r="J49" s="199">
        <f t="shared" ref="J49:M49" si="6">J48*J47</f>
        <v>1353580800.0000002</v>
      </c>
      <c r="K49" s="199">
        <f t="shared" si="6"/>
        <v>1380652416.0000002</v>
      </c>
      <c r="L49" s="199">
        <f t="shared" si="6"/>
        <v>1408265464.3200004</v>
      </c>
      <c r="M49" s="199">
        <f t="shared" si="6"/>
        <v>1436430773.6064003</v>
      </c>
      <c r="N49" s="267">
        <f t="shared" si="5"/>
        <v>6905969453.9264011</v>
      </c>
    </row>
    <row r="50" spans="1:15" x14ac:dyDescent="0.2">
      <c r="B50" s="251"/>
      <c r="H50" s="266" t="s">
        <v>305</v>
      </c>
      <c r="I50" s="199">
        <f>500*1.04</f>
        <v>520</v>
      </c>
      <c r="J50" s="199">
        <f>I50*1.02</f>
        <v>530.4</v>
      </c>
      <c r="K50" s="199">
        <f>J50*1.02</f>
        <v>541.00800000000004</v>
      </c>
      <c r="L50" s="199">
        <f>K50*1.02</f>
        <v>551.82816000000003</v>
      </c>
      <c r="M50" s="199">
        <f>L50*1.02</f>
        <v>562.86472320000007</v>
      </c>
      <c r="N50" s="267">
        <f t="shared" si="5"/>
        <v>2706.1008832000007</v>
      </c>
    </row>
    <row r="51" spans="1:15" x14ac:dyDescent="0.2">
      <c r="H51" s="266" t="s">
        <v>321</v>
      </c>
      <c r="I51" s="199">
        <f>(20000000-N48)/5</f>
        <v>2840000</v>
      </c>
      <c r="J51" s="199">
        <f>I51</f>
        <v>2840000</v>
      </c>
      <c r="K51" s="199">
        <f>I51</f>
        <v>2840000</v>
      </c>
      <c r="L51" s="199">
        <f>I51</f>
        <v>2840000</v>
      </c>
      <c r="M51" s="199">
        <f>I51</f>
        <v>2840000</v>
      </c>
      <c r="N51" s="267">
        <f t="shared" si="5"/>
        <v>14200000</v>
      </c>
      <c r="O51" t="s">
        <v>322</v>
      </c>
    </row>
    <row r="52" spans="1:15" x14ac:dyDescent="0.2">
      <c r="H52" s="266" t="s">
        <v>303</v>
      </c>
      <c r="I52" s="199">
        <f>I51*I50</f>
        <v>1476800000</v>
      </c>
      <c r="J52" s="199">
        <f t="shared" ref="J52:M52" si="7">J51*J50</f>
        <v>1506336000</v>
      </c>
      <c r="K52" s="199">
        <f t="shared" si="7"/>
        <v>1536462720</v>
      </c>
      <c r="L52" s="199">
        <f t="shared" si="7"/>
        <v>1567191974.4000001</v>
      </c>
      <c r="M52" s="199">
        <f t="shared" si="7"/>
        <v>1598535813.8880002</v>
      </c>
      <c r="N52" s="267">
        <f t="shared" si="5"/>
        <v>7685326508.2880001</v>
      </c>
    </row>
    <row r="53" spans="1:15" ht="13.5" thickBot="1" x14ac:dyDescent="0.25">
      <c r="H53" s="268"/>
      <c r="I53" s="269"/>
      <c r="J53" s="269"/>
      <c r="K53" s="269"/>
      <c r="L53" s="269"/>
      <c r="M53" s="270" t="s">
        <v>291</v>
      </c>
      <c r="N53" s="271">
        <f>N52+N49</f>
        <v>14591295962.214401</v>
      </c>
    </row>
    <row r="55" spans="1:15" x14ac:dyDescent="0.2">
      <c r="B55" s="257"/>
    </row>
  </sheetData>
  <mergeCells count="4">
    <mergeCell ref="D8:D9"/>
    <mergeCell ref="E8:E9"/>
    <mergeCell ref="F8:F9"/>
    <mergeCell ref="B8:C8"/>
  </mergeCells>
  <conditionalFormatting sqref="D13:F13">
    <cfRule type="cellIs" dxfId="3" priority="1" operator="greaterThan">
      <formula>1</formula>
    </cfRule>
  </conditionalFormatting>
  <pageMargins left="0.7" right="0.7" top="0.75" bottom="0.75" header="0.3" footer="0.3"/>
  <ignoredErrors>
    <ignoredError sqref="D25" 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CLT">
    <tabColor theme="9" tint="-0.249977111117893"/>
    <pageSetUpPr fitToPage="1"/>
  </sheetPr>
  <dimension ref="A1:AB74"/>
  <sheetViews>
    <sheetView zoomScale="90" zoomScaleNormal="90" zoomScalePageLayoutView="125" workbookViewId="0">
      <pane ySplit="10" topLeftCell="A20" activePane="bottomLeft" state="frozen"/>
      <selection pane="bottomLeft" activeCell="D68" sqref="D68"/>
    </sheetView>
  </sheetViews>
  <sheetFormatPr defaultColWidth="8.7109375" defaultRowHeight="12.75" x14ac:dyDescent="0.2"/>
  <cols>
    <col min="1" max="1" width="29.28515625" customWidth="1"/>
    <col min="2" max="2" width="45.28515625" bestFit="1" customWidth="1"/>
    <col min="3" max="4" width="16.7109375" customWidth="1"/>
    <col min="5" max="5" width="3.7109375" customWidth="1"/>
    <col min="6" max="6" width="32.28515625" bestFit="1" customWidth="1"/>
    <col min="7" max="7" width="14.140625" bestFit="1" customWidth="1"/>
    <col min="8" max="14" width="12.7109375" bestFit="1" customWidth="1"/>
    <col min="15" max="16" width="11.7109375" bestFit="1" customWidth="1"/>
    <col min="17" max="17" width="3.7109375" customWidth="1"/>
    <col min="18" max="18" width="35.7109375" bestFit="1" customWidth="1"/>
    <col min="19" max="19" width="14.5703125" bestFit="1" customWidth="1"/>
    <col min="20" max="26" width="12.7109375" bestFit="1" customWidth="1"/>
    <col min="27" max="28" width="11.7109375" bestFit="1" customWidth="1"/>
  </cols>
  <sheetData>
    <row r="1" spans="1:28" s="1" customFormat="1" x14ac:dyDescent="0.2">
      <c r="A1" s="2" t="str">
        <f>doctitle</f>
        <v>High-Level Feasibility Model</v>
      </c>
      <c r="B1" s="2"/>
      <c r="D1" s="133" t="s">
        <v>224</v>
      </c>
      <c r="P1" s="133" t="s">
        <v>224</v>
      </c>
      <c r="AB1" s="133" t="s">
        <v>224</v>
      </c>
    </row>
    <row r="2" spans="1:28" s="1" customFormat="1" x14ac:dyDescent="0.2">
      <c r="A2" s="2" t="str">
        <f>docclient</f>
        <v>National Forest Foundation</v>
      </c>
      <c r="B2" s="2"/>
    </row>
    <row r="3" spans="1:28" s="1" customFormat="1" x14ac:dyDescent="0.2">
      <c r="A3" s="2" t="str">
        <f>docproject</f>
        <v>California Assessment of Wood Business Innovation Opportunities and Markets</v>
      </c>
      <c r="B3" s="2"/>
    </row>
    <row r="4" spans="1:28" s="1" customFormat="1" x14ac:dyDescent="0.2">
      <c r="A4" s="3" t="str">
        <f>docversion</f>
        <v>Final Draft - December 31, 2015</v>
      </c>
      <c r="B4" s="3"/>
    </row>
    <row r="5" spans="1:28" s="7" customFormat="1" x14ac:dyDescent="0.2">
      <c r="A5" s="6"/>
      <c r="B5" s="6"/>
    </row>
    <row r="6" spans="1:28" s="7" customFormat="1" ht="15.75" x14ac:dyDescent="0.25">
      <c r="A6" s="8" t="s">
        <v>131</v>
      </c>
      <c r="B6" s="8"/>
    </row>
    <row r="7" spans="1:28" x14ac:dyDescent="0.2">
      <c r="A7" t="s">
        <v>46</v>
      </c>
    </row>
    <row r="8" spans="1:28" x14ac:dyDescent="0.2">
      <c r="A8" t="s">
        <v>280</v>
      </c>
    </row>
    <row r="10" spans="1:28" x14ac:dyDescent="0.2">
      <c r="A10" s="4" t="s">
        <v>3</v>
      </c>
      <c r="B10" s="4"/>
      <c r="C10" s="4"/>
      <c r="D10" s="4"/>
      <c r="F10" s="4" t="str">
        <f>"Results - "&amp;$C$13</f>
        <v>Results - Stand-Alone (Electricity Only)</v>
      </c>
      <c r="G10" s="4"/>
      <c r="H10" s="4"/>
      <c r="I10" s="4"/>
      <c r="J10" s="4"/>
      <c r="K10" s="4"/>
      <c r="L10" s="4"/>
      <c r="M10" s="4"/>
      <c r="N10" s="4"/>
      <c r="O10" s="4"/>
      <c r="P10" s="4"/>
      <c r="R10" s="4" t="str">
        <f>"Results - "&amp;$D$13</f>
        <v>Results - Steam-Consuming Colocation</v>
      </c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x14ac:dyDescent="0.2">
      <c r="A11" s="121" t="s">
        <v>51</v>
      </c>
      <c r="B11" s="121" t="s">
        <v>196</v>
      </c>
      <c r="C11" s="121" t="s">
        <v>52</v>
      </c>
      <c r="D11" s="121"/>
    </row>
    <row r="12" spans="1:28" x14ac:dyDescent="0.2">
      <c r="F12" s="123" t="s">
        <v>208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R12" s="123" t="s">
        <v>208</v>
      </c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5.6" customHeight="1" x14ac:dyDescent="0.2">
      <c r="A13" s="56" t="s">
        <v>195</v>
      </c>
      <c r="C13" s="225" t="s">
        <v>53</v>
      </c>
      <c r="D13" s="225" t="s">
        <v>54</v>
      </c>
      <c r="F13" s="25"/>
      <c r="G13" s="123">
        <f>modelYear1</f>
        <v>2017</v>
      </c>
      <c r="H13" s="123">
        <f>G13+1</f>
        <v>2018</v>
      </c>
      <c r="I13" s="123">
        <f t="shared" ref="I13:P13" si="0">H13+1</f>
        <v>2019</v>
      </c>
      <c r="J13" s="123">
        <f t="shared" si="0"/>
        <v>2020</v>
      </c>
      <c r="K13" s="123">
        <f t="shared" si="0"/>
        <v>2021</v>
      </c>
      <c r="L13" s="123">
        <f t="shared" si="0"/>
        <v>2022</v>
      </c>
      <c r="M13" s="123">
        <f t="shared" si="0"/>
        <v>2023</v>
      </c>
      <c r="N13" s="123">
        <f t="shared" si="0"/>
        <v>2024</v>
      </c>
      <c r="O13" s="123">
        <f t="shared" si="0"/>
        <v>2025</v>
      </c>
      <c r="P13" s="123">
        <f t="shared" si="0"/>
        <v>2026</v>
      </c>
      <c r="R13" s="25"/>
      <c r="S13" s="123">
        <f>modelYear1</f>
        <v>2017</v>
      </c>
      <c r="T13" s="123">
        <f>S13+1</f>
        <v>2018</v>
      </c>
      <c r="U13" s="123">
        <f t="shared" ref="U13:AB13" si="1">T13+1</f>
        <v>2019</v>
      </c>
      <c r="V13" s="123">
        <f t="shared" si="1"/>
        <v>2020</v>
      </c>
      <c r="W13" s="123">
        <f t="shared" si="1"/>
        <v>2021</v>
      </c>
      <c r="X13" s="123">
        <f t="shared" si="1"/>
        <v>2022</v>
      </c>
      <c r="Y13" s="123">
        <f t="shared" si="1"/>
        <v>2023</v>
      </c>
      <c r="Z13" s="123">
        <f t="shared" si="1"/>
        <v>2024</v>
      </c>
      <c r="AA13" s="123">
        <f t="shared" si="1"/>
        <v>2025</v>
      </c>
      <c r="AB13" s="123">
        <f t="shared" si="1"/>
        <v>2026</v>
      </c>
    </row>
    <row r="14" spans="1:28" x14ac:dyDescent="0.2">
      <c r="A14" s="56"/>
      <c r="C14" s="225"/>
      <c r="D14" s="225"/>
      <c r="F14" s="25" t="s">
        <v>49</v>
      </c>
      <c r="G14" s="124" t="str">
        <f>IF(G$46=0,"",G43/G$46)</f>
        <v/>
      </c>
      <c r="H14" s="124">
        <f>IF(H$46=0,"",H43/H$46)</f>
        <v>1</v>
      </c>
      <c r="I14" s="124">
        <f t="shared" ref="I14:P14" si="2">IF(I$46=0,"",I43/I$46)</f>
        <v>1</v>
      </c>
      <c r="J14" s="124">
        <f t="shared" si="2"/>
        <v>1</v>
      </c>
      <c r="K14" s="124">
        <f t="shared" si="2"/>
        <v>1</v>
      </c>
      <c r="L14" s="124">
        <f t="shared" si="2"/>
        <v>1</v>
      </c>
      <c r="M14" s="124">
        <f t="shared" si="2"/>
        <v>1</v>
      </c>
      <c r="N14" s="124">
        <f t="shared" si="2"/>
        <v>1</v>
      </c>
      <c r="O14" s="124">
        <f t="shared" si="2"/>
        <v>1</v>
      </c>
      <c r="P14" s="124">
        <f t="shared" si="2"/>
        <v>1</v>
      </c>
      <c r="R14" s="25" t="s">
        <v>49</v>
      </c>
      <c r="S14" s="124" t="str">
        <f>IF(S$46=0,"",S43/S$46)</f>
        <v/>
      </c>
      <c r="T14" s="124">
        <f>IF(T$46=0,"",T43/T$46)</f>
        <v>0.8575047909832072</v>
      </c>
      <c r="U14" s="124">
        <f t="shared" ref="U14:AB14" si="3">IF(U$46=0,"",U43/U$46)</f>
        <v>0.85446087645353419</v>
      </c>
      <c r="V14" s="124">
        <f t="shared" si="3"/>
        <v>0.85136321006820848</v>
      </c>
      <c r="W14" s="124">
        <f t="shared" si="3"/>
        <v>0.84821132485545081</v>
      </c>
      <c r="X14" s="124">
        <f t="shared" si="3"/>
        <v>0.84500477098847171</v>
      </c>
      <c r="Y14" s="124">
        <f t="shared" si="3"/>
        <v>0.84174311680950253</v>
      </c>
      <c r="Z14" s="124">
        <f t="shared" si="3"/>
        <v>0.83842594986919428</v>
      </c>
      <c r="AA14" s="124">
        <f t="shared" si="3"/>
        <v>0.83505287797997907</v>
      </c>
      <c r="AB14" s="124">
        <f t="shared" si="3"/>
        <v>0.83162353028187597</v>
      </c>
    </row>
    <row r="15" spans="1:28" ht="13.5" thickBot="1" x14ac:dyDescent="0.25">
      <c r="A15" s="11" t="s">
        <v>7</v>
      </c>
      <c r="F15" s="25" t="s">
        <v>86</v>
      </c>
      <c r="G15" s="124" t="str">
        <f t="shared" ref="G15:H17" si="4">IF(G$46=0,"",G44/G$46)</f>
        <v/>
      </c>
      <c r="H15" s="124">
        <f t="shared" si="4"/>
        <v>0</v>
      </c>
      <c r="I15" s="124">
        <f t="shared" ref="I15:P15" si="5">IF(I$46=0,"",I44/I$46)</f>
        <v>0</v>
      </c>
      <c r="J15" s="124">
        <f t="shared" si="5"/>
        <v>0</v>
      </c>
      <c r="K15" s="124">
        <f t="shared" si="5"/>
        <v>0</v>
      </c>
      <c r="L15" s="124">
        <f t="shared" si="5"/>
        <v>0</v>
      </c>
      <c r="M15" s="124">
        <f t="shared" si="5"/>
        <v>0</v>
      </c>
      <c r="N15" s="124">
        <f t="shared" si="5"/>
        <v>0</v>
      </c>
      <c r="O15" s="124">
        <f t="shared" si="5"/>
        <v>0</v>
      </c>
      <c r="P15" s="124">
        <f t="shared" si="5"/>
        <v>0</v>
      </c>
      <c r="R15" s="25" t="s">
        <v>86</v>
      </c>
      <c r="S15" s="124" t="str">
        <f t="shared" ref="S15:AB15" si="6">IF(S$46=0,"",S44/S$46)</f>
        <v/>
      </c>
      <c r="T15" s="124">
        <f t="shared" si="6"/>
        <v>0.14249520901679277</v>
      </c>
      <c r="U15" s="124">
        <f t="shared" si="6"/>
        <v>0.14553912354646575</v>
      </c>
      <c r="V15" s="124">
        <f t="shared" si="6"/>
        <v>0.14863678993179155</v>
      </c>
      <c r="W15" s="124">
        <f t="shared" si="6"/>
        <v>0.15178867514454922</v>
      </c>
      <c r="X15" s="124">
        <f t="shared" si="6"/>
        <v>0.15499522901152829</v>
      </c>
      <c r="Y15" s="124">
        <f t="shared" si="6"/>
        <v>0.15825688319049744</v>
      </c>
      <c r="Z15" s="124">
        <f t="shared" si="6"/>
        <v>0.1615740501308057</v>
      </c>
      <c r="AA15" s="124">
        <f t="shared" si="6"/>
        <v>0.16494712202002096</v>
      </c>
      <c r="AB15" s="124">
        <f t="shared" si="6"/>
        <v>0.16837646971812409</v>
      </c>
    </row>
    <row r="16" spans="1:28" ht="14.25" thickTop="1" thickBot="1" x14ac:dyDescent="0.25">
      <c r="A16" s="14" t="s">
        <v>220</v>
      </c>
      <c r="C16" s="139">
        <v>0</v>
      </c>
      <c r="D16" s="147">
        <v>0</v>
      </c>
      <c r="F16" s="25" t="s">
        <v>209</v>
      </c>
      <c r="G16" s="125" t="str">
        <f t="shared" si="4"/>
        <v/>
      </c>
      <c r="H16" s="125">
        <f t="shared" si="4"/>
        <v>0</v>
      </c>
      <c r="I16" s="125">
        <f t="shared" ref="I16:P16" si="7">IF(I$46=0,"",I45/I$46)</f>
        <v>0</v>
      </c>
      <c r="J16" s="125">
        <f t="shared" si="7"/>
        <v>0</v>
      </c>
      <c r="K16" s="125">
        <f t="shared" si="7"/>
        <v>0</v>
      </c>
      <c r="L16" s="125">
        <f t="shared" si="7"/>
        <v>0</v>
      </c>
      <c r="M16" s="125">
        <f t="shared" si="7"/>
        <v>0</v>
      </c>
      <c r="N16" s="125">
        <f t="shared" si="7"/>
        <v>0</v>
      </c>
      <c r="O16" s="125">
        <f t="shared" si="7"/>
        <v>0</v>
      </c>
      <c r="P16" s="125">
        <f t="shared" si="7"/>
        <v>0</v>
      </c>
      <c r="R16" s="25" t="s">
        <v>209</v>
      </c>
      <c r="S16" s="125" t="str">
        <f t="shared" ref="S16:AB16" si="8">IF(S$46=0,"",S45/S$46)</f>
        <v/>
      </c>
      <c r="T16" s="125">
        <f t="shared" si="8"/>
        <v>0</v>
      </c>
      <c r="U16" s="125">
        <f t="shared" si="8"/>
        <v>0</v>
      </c>
      <c r="V16" s="125">
        <f t="shared" si="8"/>
        <v>0</v>
      </c>
      <c r="W16" s="125">
        <f t="shared" si="8"/>
        <v>0</v>
      </c>
      <c r="X16" s="125">
        <f t="shared" si="8"/>
        <v>0</v>
      </c>
      <c r="Y16" s="125">
        <f t="shared" si="8"/>
        <v>0</v>
      </c>
      <c r="Z16" s="125">
        <f t="shared" si="8"/>
        <v>0</v>
      </c>
      <c r="AA16" s="125">
        <f t="shared" si="8"/>
        <v>0</v>
      </c>
      <c r="AB16" s="125">
        <f t="shared" si="8"/>
        <v>0</v>
      </c>
    </row>
    <row r="17" spans="1:28" ht="14.25" thickTop="1" thickBot="1" x14ac:dyDescent="0.25">
      <c r="A17" s="14" t="s">
        <v>221</v>
      </c>
      <c r="B17" t="s">
        <v>222</v>
      </c>
      <c r="C17" s="145">
        <v>2.5000000000000001E-2</v>
      </c>
      <c r="D17" s="146">
        <v>2.5000000000000001E-2</v>
      </c>
      <c r="F17" s="25" t="s">
        <v>210</v>
      </c>
      <c r="G17" s="124" t="str">
        <f t="shared" si="4"/>
        <v/>
      </c>
      <c r="H17" s="124">
        <f t="shared" si="4"/>
        <v>1</v>
      </c>
      <c r="I17" s="124">
        <f t="shared" ref="I17:P17" si="9">IF(I$46=0,"",I46/I$46)</f>
        <v>1</v>
      </c>
      <c r="J17" s="124">
        <f t="shared" si="9"/>
        <v>1</v>
      </c>
      <c r="K17" s="124">
        <f t="shared" si="9"/>
        <v>1</v>
      </c>
      <c r="L17" s="124">
        <f t="shared" si="9"/>
        <v>1</v>
      </c>
      <c r="M17" s="124">
        <f t="shared" si="9"/>
        <v>1</v>
      </c>
      <c r="N17" s="124">
        <f t="shared" si="9"/>
        <v>1</v>
      </c>
      <c r="O17" s="124">
        <f t="shared" si="9"/>
        <v>1</v>
      </c>
      <c r="P17" s="124">
        <f t="shared" si="9"/>
        <v>1</v>
      </c>
      <c r="R17" s="25" t="s">
        <v>210</v>
      </c>
      <c r="S17" s="124" t="str">
        <f t="shared" ref="S17:AB17" si="10">IF(S$46=0,"",S46/S$46)</f>
        <v/>
      </c>
      <c r="T17" s="124">
        <f t="shared" si="10"/>
        <v>1</v>
      </c>
      <c r="U17" s="124">
        <f t="shared" si="10"/>
        <v>1</v>
      </c>
      <c r="V17" s="124">
        <f t="shared" si="10"/>
        <v>1</v>
      </c>
      <c r="W17" s="124">
        <f t="shared" si="10"/>
        <v>1</v>
      </c>
      <c r="X17" s="124">
        <f t="shared" si="10"/>
        <v>1</v>
      </c>
      <c r="Y17" s="124">
        <f t="shared" si="10"/>
        <v>1</v>
      </c>
      <c r="Z17" s="124">
        <f t="shared" si="10"/>
        <v>1</v>
      </c>
      <c r="AA17" s="124">
        <f t="shared" si="10"/>
        <v>1</v>
      </c>
      <c r="AB17" s="124">
        <f t="shared" si="10"/>
        <v>1</v>
      </c>
    </row>
    <row r="18" spans="1:28" ht="13.5" thickTop="1" x14ac:dyDescent="0.2"/>
    <row r="19" spans="1:28" ht="13.5" thickBot="1" x14ac:dyDescent="0.25">
      <c r="A19" s="11" t="s">
        <v>19</v>
      </c>
      <c r="C19" s="13"/>
    </row>
    <row r="20" spans="1:28" ht="14.25" thickTop="1" thickBot="1" x14ac:dyDescent="0.25">
      <c r="A20" s="14" t="s">
        <v>219</v>
      </c>
      <c r="B20" t="s">
        <v>228</v>
      </c>
      <c r="C20" s="148">
        <v>3</v>
      </c>
      <c r="D20" s="149">
        <v>3</v>
      </c>
    </row>
    <row r="21" spans="1:28" s="55" customFormat="1" ht="14.25" thickTop="1" thickBot="1" x14ac:dyDescent="0.25">
      <c r="A21" s="14" t="s">
        <v>59</v>
      </c>
      <c r="B21" t="s">
        <v>226</v>
      </c>
      <c r="C21" s="148">
        <v>0</v>
      </c>
      <c r="D21" s="149">
        <v>10</v>
      </c>
    </row>
    <row r="22" spans="1:28" ht="14.25" thickTop="1" thickBot="1" x14ac:dyDescent="0.25">
      <c r="A22" s="14" t="s">
        <v>87</v>
      </c>
      <c r="B22" t="s">
        <v>227</v>
      </c>
      <c r="C22" s="150">
        <v>8200</v>
      </c>
      <c r="D22" s="151">
        <v>8200</v>
      </c>
    </row>
    <row r="23" spans="1:28" ht="13.5" thickTop="1" x14ac:dyDescent="0.2">
      <c r="A23" s="14" t="s">
        <v>88</v>
      </c>
      <c r="B23" t="s">
        <v>229</v>
      </c>
      <c r="C23" s="59">
        <f>C22/(365*24)</f>
        <v>0.9360730593607306</v>
      </c>
      <c r="D23" s="59">
        <f t="shared" ref="D23" si="11">D22/(365*24)</f>
        <v>0.9360730593607306</v>
      </c>
    </row>
    <row r="24" spans="1:28" x14ac:dyDescent="0.2">
      <c r="D24" s="63"/>
    </row>
    <row r="25" spans="1:28" ht="13.5" thickBot="1" x14ac:dyDescent="0.25">
      <c r="A25" s="11" t="s">
        <v>61</v>
      </c>
      <c r="C25" s="10"/>
      <c r="D25" s="63"/>
    </row>
    <row r="26" spans="1:28" ht="14.25" thickTop="1" thickBot="1" x14ac:dyDescent="0.25">
      <c r="A26" s="14" t="s">
        <v>233</v>
      </c>
      <c r="B26" t="s">
        <v>231</v>
      </c>
      <c r="C26" s="150">
        <f>8200</f>
        <v>8200</v>
      </c>
      <c r="D26" s="151">
        <f>C26</f>
        <v>8200</v>
      </c>
    </row>
    <row r="27" spans="1:28" ht="14.25" thickTop="1" thickBot="1" x14ac:dyDescent="0.25">
      <c r="A27" s="14" t="s">
        <v>234</v>
      </c>
      <c r="B27" t="s">
        <v>232</v>
      </c>
      <c r="C27" s="150">
        <v>0</v>
      </c>
      <c r="D27" s="151">
        <v>400</v>
      </c>
    </row>
    <row r="28" spans="1:28" ht="13.5" thickTop="1" x14ac:dyDescent="0.2">
      <c r="A28" s="14" t="s">
        <v>235</v>
      </c>
      <c r="B28" t="s">
        <v>230</v>
      </c>
      <c r="C28" s="10">
        <f>C26*C20+C27*C21</f>
        <v>24600</v>
      </c>
      <c r="D28" s="10">
        <f>D26*D20+D27*D21</f>
        <v>28600</v>
      </c>
    </row>
    <row r="30" spans="1:28" ht="13.5" thickBot="1" x14ac:dyDescent="0.25">
      <c r="A30" s="11" t="s">
        <v>60</v>
      </c>
      <c r="D30" s="63"/>
    </row>
    <row r="31" spans="1:28" ht="13.5" thickTop="1" x14ac:dyDescent="0.2">
      <c r="A31" s="14" t="s">
        <v>63</v>
      </c>
      <c r="C31" s="153">
        <v>1</v>
      </c>
      <c r="D31" s="209">
        <v>1</v>
      </c>
    </row>
    <row r="32" spans="1:28" x14ac:dyDescent="0.2">
      <c r="A32" s="14"/>
      <c r="B32" s="203"/>
      <c r="C32" s="206"/>
      <c r="D32" s="207"/>
    </row>
    <row r="33" spans="1:28" x14ac:dyDescent="0.2">
      <c r="A33" s="14"/>
      <c r="B33" s="203"/>
      <c r="C33" s="204"/>
      <c r="D33" s="205"/>
    </row>
    <row r="34" spans="1:28" x14ac:dyDescent="0.2">
      <c r="A34" s="14"/>
      <c r="B34" s="203"/>
      <c r="C34" s="208"/>
      <c r="D34" s="208"/>
    </row>
    <row r="36" spans="1:28" ht="13.5" thickBot="1" x14ac:dyDescent="0.25">
      <c r="A36" s="57" t="s">
        <v>14</v>
      </c>
      <c r="B36" s="57"/>
    </row>
    <row r="37" spans="1:28" ht="14.25" thickTop="1" thickBot="1" x14ac:dyDescent="0.25">
      <c r="A37" s="13" t="s">
        <v>15</v>
      </c>
      <c r="B37" t="s">
        <v>245</v>
      </c>
      <c r="C37" s="154">
        <v>19800000</v>
      </c>
      <c r="D37" s="155">
        <v>21060000</v>
      </c>
    </row>
    <row r="38" spans="1:28" ht="14.25" thickTop="1" thickBot="1" x14ac:dyDescent="0.25">
      <c r="A38" s="13" t="s">
        <v>236</v>
      </c>
      <c r="B38" t="s">
        <v>237</v>
      </c>
      <c r="C38" s="148">
        <v>5</v>
      </c>
      <c r="D38" s="149">
        <f>C38+1</f>
        <v>6</v>
      </c>
    </row>
    <row r="39" spans="1:28" ht="14.25" thickTop="1" thickBot="1" x14ac:dyDescent="0.25">
      <c r="A39" s="13" t="s">
        <v>55</v>
      </c>
      <c r="B39" t="s">
        <v>56</v>
      </c>
      <c r="C39" s="154">
        <v>0</v>
      </c>
      <c r="D39" s="155">
        <v>0</v>
      </c>
      <c r="F39" s="4" t="s">
        <v>34</v>
      </c>
      <c r="G39" s="4"/>
      <c r="H39" s="4"/>
      <c r="I39" s="4"/>
      <c r="J39" s="4"/>
      <c r="K39" s="4"/>
      <c r="L39" s="4"/>
      <c r="M39" s="4"/>
      <c r="N39" s="4"/>
      <c r="O39" s="4"/>
      <c r="P39" s="4"/>
      <c r="R39" s="4" t="s">
        <v>34</v>
      </c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4.25" thickTop="1" thickBot="1" x14ac:dyDescent="0.25">
      <c r="A40" s="13" t="s">
        <v>57</v>
      </c>
      <c r="C40" s="12">
        <f>C38*C39</f>
        <v>0</v>
      </c>
      <c r="D40" s="12">
        <f t="shared" ref="D40" si="12">D38*D39</f>
        <v>0</v>
      </c>
    </row>
    <row r="41" spans="1:28" ht="14.25" thickTop="1" thickBot="1" x14ac:dyDescent="0.25">
      <c r="A41" s="13" t="s">
        <v>47</v>
      </c>
      <c r="B41" t="s">
        <v>48</v>
      </c>
      <c r="C41" s="154">
        <f>(2000000+4000000)/2</f>
        <v>3000000</v>
      </c>
      <c r="D41" s="155">
        <f>(2000000+4000000)/2</f>
        <v>3000000</v>
      </c>
      <c r="G41" s="19">
        <f>modelYear1</f>
        <v>2017</v>
      </c>
      <c r="H41" s="19">
        <f>G41+1</f>
        <v>2018</v>
      </c>
      <c r="I41" s="19">
        <f t="shared" ref="I41:K41" si="13">H41+1</f>
        <v>2019</v>
      </c>
      <c r="J41" s="19">
        <f t="shared" si="13"/>
        <v>2020</v>
      </c>
      <c r="K41" s="19">
        <f t="shared" si="13"/>
        <v>2021</v>
      </c>
      <c r="L41" s="19">
        <f t="shared" ref="L41" si="14">K41+1</f>
        <v>2022</v>
      </c>
      <c r="M41" s="19">
        <f t="shared" ref="M41" si="15">L41+1</f>
        <v>2023</v>
      </c>
      <c r="N41" s="19">
        <f t="shared" ref="N41" si="16">M41+1</f>
        <v>2024</v>
      </c>
      <c r="O41" s="19">
        <f t="shared" ref="O41" si="17">N41+1</f>
        <v>2025</v>
      </c>
      <c r="P41" s="19">
        <f t="shared" ref="P41" si="18">O41+1</f>
        <v>2026</v>
      </c>
      <c r="S41" s="19">
        <f>modelYear1</f>
        <v>2017</v>
      </c>
      <c r="T41" s="19">
        <f>S41+1</f>
        <v>2018</v>
      </c>
      <c r="U41" s="19">
        <f t="shared" ref="U41" si="19">T41+1</f>
        <v>2019</v>
      </c>
      <c r="V41" s="19">
        <f t="shared" ref="V41" si="20">U41+1</f>
        <v>2020</v>
      </c>
      <c r="W41" s="19">
        <f t="shared" ref="W41" si="21">V41+1</f>
        <v>2021</v>
      </c>
      <c r="X41" s="19">
        <f t="shared" ref="X41" si="22">W41+1</f>
        <v>2022</v>
      </c>
      <c r="Y41" s="19">
        <f t="shared" ref="Y41" si="23">X41+1</f>
        <v>2023</v>
      </c>
      <c r="Z41" s="19">
        <f t="shared" ref="Z41" si="24">Y41+1</f>
        <v>2024</v>
      </c>
      <c r="AA41" s="19">
        <f t="shared" ref="AA41" si="25">Z41+1</f>
        <v>2025</v>
      </c>
      <c r="AB41" s="19">
        <f t="shared" ref="AB41" si="26">AA41+1</f>
        <v>2026</v>
      </c>
    </row>
    <row r="42" spans="1:28" ht="13.5" thickTop="1" x14ac:dyDescent="0.2">
      <c r="A42" s="13" t="s">
        <v>27</v>
      </c>
      <c r="C42" s="12">
        <f>SUM(C37,C40:C41)</f>
        <v>22800000</v>
      </c>
      <c r="D42" s="12">
        <f t="shared" ref="D42" si="27">SUM(D37,D40:D41)</f>
        <v>24060000</v>
      </c>
      <c r="F42" s="20" t="s">
        <v>23</v>
      </c>
      <c r="R42" s="20" t="s">
        <v>23</v>
      </c>
    </row>
    <row r="43" spans="1:28" x14ac:dyDescent="0.2">
      <c r="F43" s="13" t="s">
        <v>49</v>
      </c>
      <c r="G43" s="21">
        <f t="shared" ref="G43" si="28">IF(G$41&lt;OpYr1_C,0,IF(G$41=OpYr1_C,OpYr1Pct_C,1))*(MW_C*OpHrs_C*RevPerKWH_C*1000)</f>
        <v>0</v>
      </c>
      <c r="H43" s="21">
        <f t="shared" ref="H43:P43" si="29">IF(H$41&lt;OpYr1_C,0,IF(H$41=OpYr1_C,OpYr1Pct_C,1))*(MW_C*OpHrs_C*RevPerKWH_C*1000)*(1+InflElec_C)^(H$41-$G$41)</f>
        <v>2706000</v>
      </c>
      <c r="I43" s="21">
        <f t="shared" si="29"/>
        <v>5412000</v>
      </c>
      <c r="J43" s="21">
        <f t="shared" si="29"/>
        <v>5412000</v>
      </c>
      <c r="K43" s="21">
        <f t="shared" si="29"/>
        <v>5412000</v>
      </c>
      <c r="L43" s="21">
        <f t="shared" si="29"/>
        <v>5412000</v>
      </c>
      <c r="M43" s="21">
        <f t="shared" si="29"/>
        <v>5412000</v>
      </c>
      <c r="N43" s="21">
        <f t="shared" si="29"/>
        <v>5412000</v>
      </c>
      <c r="O43" s="21">
        <f t="shared" si="29"/>
        <v>5412000</v>
      </c>
      <c r="P43" s="21">
        <f t="shared" si="29"/>
        <v>5412000</v>
      </c>
      <c r="R43" s="13" t="s">
        <v>49</v>
      </c>
      <c r="S43" s="21">
        <f t="shared" ref="S43" si="30">IF(S$41&lt;OpYr1_A,0,IF(S$41=OpYr1_A,OpYr1Pct_A,1))*(MW_A*OpHrs_A*RevPerKWH_A*1000)</f>
        <v>0</v>
      </c>
      <c r="T43" s="21">
        <f t="shared" ref="T43:AB43" si="31">IF(T$41&lt;OpYr1_A,0,IF(T$41=OpYr1_A,OpYr1Pct_A,1))*(MW_A*OpHrs_A*RevPerKWH_A*1000)*(1+InflElec_A)^(T$41-$S$41)</f>
        <v>2706000</v>
      </c>
      <c r="U43" s="21">
        <f t="shared" si="31"/>
        <v>5412000</v>
      </c>
      <c r="V43" s="21">
        <f t="shared" si="31"/>
        <v>5412000</v>
      </c>
      <c r="W43" s="21">
        <f t="shared" si="31"/>
        <v>5412000</v>
      </c>
      <c r="X43" s="21">
        <f t="shared" si="31"/>
        <v>5412000</v>
      </c>
      <c r="Y43" s="21">
        <f t="shared" si="31"/>
        <v>5412000</v>
      </c>
      <c r="Z43" s="21">
        <f t="shared" si="31"/>
        <v>5412000</v>
      </c>
      <c r="AA43" s="21">
        <f t="shared" si="31"/>
        <v>5412000</v>
      </c>
      <c r="AB43" s="21">
        <f t="shared" si="31"/>
        <v>5412000</v>
      </c>
    </row>
    <row r="44" spans="1:28" ht="13.5" thickBot="1" x14ac:dyDescent="0.25">
      <c r="A44" s="57" t="s">
        <v>62</v>
      </c>
      <c r="F44" s="13" t="s">
        <v>86</v>
      </c>
      <c r="G44" s="79">
        <f t="shared" ref="G44" si="32">IF(G$41&lt;OpYr1_C,0,IF(G$41=OpYr1_C,OpYr1Pct_C,1))*(1000000*BTU_C*OpHrs_C/BTUperPPH_C)*(RevPerMpph_C)/1000</f>
        <v>0</v>
      </c>
      <c r="H44" s="79">
        <f t="shared" ref="H44:P44" si="33">IF(H$41&lt;OpYr1_C,0,IF(H$41=OpYr1_C,OpYr1Pct_C,1))*(1000000*BTU_C*OpHrs_C/BTUperPPH_C)*(RevPerMpph_C)/1000*(1+Infl_C)^(H$41-$G$41)</f>
        <v>0</v>
      </c>
      <c r="I44" s="79">
        <f t="shared" si="33"/>
        <v>0</v>
      </c>
      <c r="J44" s="79">
        <f t="shared" si="33"/>
        <v>0</v>
      </c>
      <c r="K44" s="79">
        <f t="shared" si="33"/>
        <v>0</v>
      </c>
      <c r="L44" s="79">
        <f t="shared" si="33"/>
        <v>0</v>
      </c>
      <c r="M44" s="79">
        <f t="shared" si="33"/>
        <v>0</v>
      </c>
      <c r="N44" s="79">
        <f t="shared" si="33"/>
        <v>0</v>
      </c>
      <c r="O44" s="79">
        <f t="shared" si="33"/>
        <v>0</v>
      </c>
      <c r="P44" s="79">
        <f t="shared" si="33"/>
        <v>0</v>
      </c>
      <c r="R44" s="13" t="s">
        <v>86</v>
      </c>
      <c r="S44" s="79">
        <f t="shared" ref="S44" si="34">IF(S$41&lt;OpYr1_A,0,IF(S$41=OpYr1_A,OpYr1Pct_A,1))*(1000000*BTU_A*OpHrs_A/BTUperPPH_A)*(RevPerMpph_A)/1000</f>
        <v>0</v>
      </c>
      <c r="T44" s="79">
        <f t="shared" ref="T44:AB44" si="35">IF(T$41&lt;OpYr1_A,0,IF(T$41=OpYr1_A,OpYr1Pct_A,1))*(1000000*BTU_A*OpHrs_A/BTUperPPH_A)*(RevPerMpph_A)/1000*(1+Infl_A)^(T$41-$S$41)</f>
        <v>449667.49999999994</v>
      </c>
      <c r="U44" s="79">
        <f t="shared" si="35"/>
        <v>921818.37499999988</v>
      </c>
      <c r="V44" s="79">
        <f t="shared" si="35"/>
        <v>944863.83437499986</v>
      </c>
      <c r="W44" s="79">
        <f t="shared" si="35"/>
        <v>968485.43023437483</v>
      </c>
      <c r="X44" s="79">
        <f t="shared" si="35"/>
        <v>992697.56599023403</v>
      </c>
      <c r="Y44" s="79">
        <f t="shared" si="35"/>
        <v>1017515.0051399899</v>
      </c>
      <c r="Z44" s="79">
        <f t="shared" si="35"/>
        <v>1042952.8802684896</v>
      </c>
      <c r="AA44" s="79">
        <f t="shared" si="35"/>
        <v>1069026.7022752017</v>
      </c>
      <c r="AB44" s="79">
        <f t="shared" si="35"/>
        <v>1095752.3698320817</v>
      </c>
    </row>
    <row r="45" spans="1:28" ht="16.5" thickTop="1" thickBot="1" x14ac:dyDescent="0.4">
      <c r="A45" s="13" t="s">
        <v>28</v>
      </c>
      <c r="C45" s="156">
        <v>2017</v>
      </c>
      <c r="D45" s="157">
        <v>2017</v>
      </c>
      <c r="F45" s="13" t="s">
        <v>207</v>
      </c>
      <c r="G45" s="22">
        <f t="shared" ref="G45" si="36">IF(G$41&lt;OpYr1_C,0,IF(G$41=OpYr1_C,OpYr1Pct_C,1))*Anc_Rev_C</f>
        <v>0</v>
      </c>
      <c r="H45" s="22">
        <f t="shared" ref="H45:P45" si="37">IF(H$41&lt;OpYr1_C,0,IF(H$41=OpYr1_C,OpYr1Pct_C,1))*Anc_Rev_C*(1+Infl_C)^(H$41-$G$41)</f>
        <v>0</v>
      </c>
      <c r="I45" s="22">
        <f t="shared" si="37"/>
        <v>0</v>
      </c>
      <c r="J45" s="22">
        <f t="shared" si="37"/>
        <v>0</v>
      </c>
      <c r="K45" s="22">
        <f t="shared" si="37"/>
        <v>0</v>
      </c>
      <c r="L45" s="22">
        <f t="shared" si="37"/>
        <v>0</v>
      </c>
      <c r="M45" s="22">
        <f t="shared" si="37"/>
        <v>0</v>
      </c>
      <c r="N45" s="22">
        <f t="shared" si="37"/>
        <v>0</v>
      </c>
      <c r="O45" s="22">
        <f t="shared" si="37"/>
        <v>0</v>
      </c>
      <c r="P45" s="22">
        <f t="shared" si="37"/>
        <v>0</v>
      </c>
      <c r="R45" s="13" t="s">
        <v>207</v>
      </c>
      <c r="S45" s="22">
        <f t="shared" ref="S45" si="38">IF(S$41&lt;OpYr1_A,0,IF(S$41=OpYr1_A,OpYr1Pct_A,1))*Anc_Rev_A</f>
        <v>0</v>
      </c>
      <c r="T45" s="22">
        <f t="shared" ref="T45:AB45" si="39">IF(T$41&lt;OpYr1_A,0,IF(T$41=OpYr1_A,OpYr1Pct_A,1))*Anc_Rev_A*(1+Infl_A)^(T$41-$S$41)</f>
        <v>0</v>
      </c>
      <c r="U45" s="22">
        <f t="shared" si="39"/>
        <v>0</v>
      </c>
      <c r="V45" s="22">
        <f t="shared" si="39"/>
        <v>0</v>
      </c>
      <c r="W45" s="22">
        <f t="shared" si="39"/>
        <v>0</v>
      </c>
      <c r="X45" s="22">
        <f t="shared" si="39"/>
        <v>0</v>
      </c>
      <c r="Y45" s="22">
        <f t="shared" si="39"/>
        <v>0</v>
      </c>
      <c r="Z45" s="22">
        <f t="shared" si="39"/>
        <v>0</v>
      </c>
      <c r="AA45" s="22">
        <f t="shared" si="39"/>
        <v>0</v>
      </c>
      <c r="AB45" s="22">
        <f t="shared" si="39"/>
        <v>0</v>
      </c>
    </row>
    <row r="46" spans="1:28" ht="14.25" thickTop="1" thickBot="1" x14ac:dyDescent="0.25">
      <c r="A46" s="14" t="s">
        <v>18</v>
      </c>
      <c r="B46" t="s">
        <v>238</v>
      </c>
      <c r="C46" s="158">
        <v>18</v>
      </c>
      <c r="D46" s="159">
        <v>18</v>
      </c>
      <c r="F46" s="15" t="s">
        <v>96</v>
      </c>
      <c r="G46" s="23">
        <f>SUM(G43:G45)</f>
        <v>0</v>
      </c>
      <c r="H46" s="23">
        <f t="shared" ref="H46:P46" si="40">SUM(H43:H45)</f>
        <v>2706000</v>
      </c>
      <c r="I46" s="23">
        <f t="shared" si="40"/>
        <v>5412000</v>
      </c>
      <c r="J46" s="23">
        <f t="shared" si="40"/>
        <v>5412000</v>
      </c>
      <c r="K46" s="23">
        <f t="shared" si="40"/>
        <v>5412000</v>
      </c>
      <c r="L46" s="23">
        <f t="shared" si="40"/>
        <v>5412000</v>
      </c>
      <c r="M46" s="23">
        <f t="shared" si="40"/>
        <v>5412000</v>
      </c>
      <c r="N46" s="23">
        <f t="shared" si="40"/>
        <v>5412000</v>
      </c>
      <c r="O46" s="23">
        <f t="shared" si="40"/>
        <v>5412000</v>
      </c>
      <c r="P46" s="23">
        <f t="shared" si="40"/>
        <v>5412000</v>
      </c>
      <c r="R46" s="15" t="s">
        <v>96</v>
      </c>
      <c r="S46" s="23">
        <f>SUM(S43:S45)</f>
        <v>0</v>
      </c>
      <c r="T46" s="23">
        <f t="shared" ref="T46:AB46" si="41">SUM(T43:T45)</f>
        <v>3155667.5</v>
      </c>
      <c r="U46" s="23">
        <f t="shared" si="41"/>
        <v>6333818.375</v>
      </c>
      <c r="V46" s="23">
        <f t="shared" si="41"/>
        <v>6356863.8343749996</v>
      </c>
      <c r="W46" s="23">
        <f t="shared" si="41"/>
        <v>6380485.4302343745</v>
      </c>
      <c r="X46" s="23">
        <f t="shared" si="41"/>
        <v>6404697.5659902338</v>
      </c>
      <c r="Y46" s="23">
        <f t="shared" si="41"/>
        <v>6429515.0051399898</v>
      </c>
      <c r="Z46" s="23">
        <f t="shared" si="41"/>
        <v>6454952.8802684899</v>
      </c>
      <c r="AA46" s="23">
        <f t="shared" si="41"/>
        <v>6481026.7022752017</v>
      </c>
      <c r="AB46" s="23">
        <f t="shared" si="41"/>
        <v>6507752.3698320817</v>
      </c>
    </row>
    <row r="47" spans="1:28" ht="14.25" thickTop="1" thickBot="1" x14ac:dyDescent="0.25">
      <c r="A47" s="13" t="s">
        <v>16</v>
      </c>
      <c r="B47" t="s">
        <v>21</v>
      </c>
      <c r="C47" s="58">
        <f>C45+FLOOR(C46/12,1)</f>
        <v>2018</v>
      </c>
      <c r="D47" s="58">
        <f t="shared" ref="D47" si="42">D45+FLOOR(D46/12,1)</f>
        <v>2018</v>
      </c>
      <c r="F47" s="20" t="s">
        <v>24</v>
      </c>
      <c r="R47" s="20" t="s">
        <v>24</v>
      </c>
    </row>
    <row r="48" spans="1:28" ht="14.25" thickTop="1" thickBot="1" x14ac:dyDescent="0.25">
      <c r="A48" s="13" t="s">
        <v>17</v>
      </c>
      <c r="B48" t="s">
        <v>22</v>
      </c>
      <c r="C48" s="160">
        <v>0.5</v>
      </c>
      <c r="D48" s="152">
        <v>0.5</v>
      </c>
      <c r="F48" s="13" t="s">
        <v>66</v>
      </c>
      <c r="G48" s="21">
        <f t="shared" ref="G48" si="43">IF(G$41&lt;OpYr1_C,0,IF(G$41=OpYr1_C,OpYr1Pct_C,1))*Fuel_C*FuelCost_C</f>
        <v>0</v>
      </c>
      <c r="H48" s="21">
        <f t="shared" ref="H48:P48" si="44">IF(H$41&lt;OpYr1_C,0,IF(H$41=OpYr1_C,OpYr1Pct_C,1))*Fuel_C*FuelCost_C*(1+Infl_C)^(H$41-$G$41)</f>
        <v>567337.5</v>
      </c>
      <c r="I48" s="21">
        <f t="shared" si="44"/>
        <v>1163041.875</v>
      </c>
      <c r="J48" s="21">
        <f t="shared" si="44"/>
        <v>1192117.9218749998</v>
      </c>
      <c r="K48" s="21">
        <f t="shared" si="44"/>
        <v>1221920.8699218747</v>
      </c>
      <c r="L48" s="21">
        <f t="shared" si="44"/>
        <v>1252468.8916699216</v>
      </c>
      <c r="M48" s="21">
        <f t="shared" si="44"/>
        <v>1283780.6139616694</v>
      </c>
      <c r="N48" s="21">
        <f t="shared" si="44"/>
        <v>1315875.1293107113</v>
      </c>
      <c r="O48" s="21">
        <f t="shared" si="44"/>
        <v>1348772.0075434789</v>
      </c>
      <c r="P48" s="21">
        <f t="shared" si="44"/>
        <v>1382491.3077320657</v>
      </c>
      <c r="R48" s="13" t="s">
        <v>66</v>
      </c>
      <c r="S48" s="21">
        <f t="shared" ref="S48" si="45">IF(S$41&lt;OpYr1_A,0,IF(S$41=OpYr1_A,OpYr1Pct_A,1))*Fuel_A*FuelCost_A</f>
        <v>0</v>
      </c>
      <c r="T48" s="21">
        <f t="shared" ref="T48:AB48" si="46">IF(T$41&lt;OpYr1_A,0,IF(T$41=OpYr1_A,OpYr1Pct_A,1))*Fuel_A*FuelCost_A*(1+Infl_A)^(T$41-$S$41)</f>
        <v>659587.5</v>
      </c>
      <c r="U48" s="21">
        <f t="shared" si="46"/>
        <v>1352154.375</v>
      </c>
      <c r="V48" s="21">
        <f t="shared" si="46"/>
        <v>1385958.2343749998</v>
      </c>
      <c r="W48" s="21">
        <f t="shared" si="46"/>
        <v>1420607.1902343747</v>
      </c>
      <c r="X48" s="21">
        <f t="shared" si="46"/>
        <v>1456122.369990234</v>
      </c>
      <c r="Y48" s="21">
        <f t="shared" si="46"/>
        <v>1492525.4292399897</v>
      </c>
      <c r="Z48" s="21">
        <f t="shared" si="46"/>
        <v>1529838.5649709895</v>
      </c>
      <c r="AA48" s="21">
        <f t="shared" si="46"/>
        <v>1568084.5290952642</v>
      </c>
      <c r="AB48" s="21">
        <f t="shared" si="46"/>
        <v>1607286.6423226455</v>
      </c>
    </row>
    <row r="49" spans="1:28" ht="13.5" thickTop="1" x14ac:dyDescent="0.2">
      <c r="F49" s="13" t="s">
        <v>91</v>
      </c>
      <c r="G49" s="21">
        <f t="shared" ref="G49" si="47">IF(G$41&lt;OpYr1_C,0,IF(G$41=OpYr1_C,OpYr1Pct_C,1))*Fuel_C*Consumables_C</f>
        <v>0</v>
      </c>
      <c r="H49" s="21">
        <f t="shared" ref="H49:P49" si="48">IF(H$41&lt;OpYr1_C,0,IF(H$41=OpYr1_C,OpYr1Pct_C,1))*Fuel_C*Consumables_C*(1+Infl_C)^(H$41-$G$41)</f>
        <v>53581.874999999993</v>
      </c>
      <c r="I49" s="21">
        <f t="shared" si="48"/>
        <v>109842.84374999999</v>
      </c>
      <c r="J49" s="21">
        <f t="shared" si="48"/>
        <v>112588.91484374998</v>
      </c>
      <c r="K49" s="21">
        <f t="shared" si="48"/>
        <v>115403.63771484373</v>
      </c>
      <c r="L49" s="21">
        <f t="shared" si="48"/>
        <v>118288.7286577148</v>
      </c>
      <c r="M49" s="21">
        <f t="shared" si="48"/>
        <v>121245.94687415767</v>
      </c>
      <c r="N49" s="21">
        <f t="shared" si="48"/>
        <v>124277.09554601162</v>
      </c>
      <c r="O49" s="21">
        <f t="shared" si="48"/>
        <v>127384.0229346619</v>
      </c>
      <c r="P49" s="21">
        <f t="shared" si="48"/>
        <v>130568.62350802842</v>
      </c>
      <c r="R49" s="13" t="s">
        <v>91</v>
      </c>
      <c r="S49" s="21">
        <f t="shared" ref="S49" si="49">IF(S$41&lt;OpYr1_A,0,IF(S$41=OpYr1_A,OpYr1Pct_A,1))*Fuel_A*Consumables_A</f>
        <v>0</v>
      </c>
      <c r="T49" s="21">
        <f t="shared" ref="T49:AB49" si="50">IF(T$41&lt;OpYr1_A,0,IF(T$41=OpYr1_A,OpYr1Pct_A,1))*Fuel_A*Consumables_A*(1+Infl_A)^(T$41-$S$41)</f>
        <v>62294.374999999993</v>
      </c>
      <c r="U49" s="21">
        <f t="shared" si="50"/>
        <v>127703.46874999999</v>
      </c>
      <c r="V49" s="21">
        <f t="shared" si="50"/>
        <v>130896.05546874998</v>
      </c>
      <c r="W49" s="21">
        <f t="shared" si="50"/>
        <v>134168.45685546871</v>
      </c>
      <c r="X49" s="21">
        <f t="shared" si="50"/>
        <v>137522.66827685543</v>
      </c>
      <c r="Y49" s="21">
        <f t="shared" si="50"/>
        <v>140960.73498377681</v>
      </c>
      <c r="Z49" s="21">
        <f t="shared" si="50"/>
        <v>144484.75335837124</v>
      </c>
      <c r="AA49" s="21">
        <f t="shared" si="50"/>
        <v>148096.87219233048</v>
      </c>
      <c r="AB49" s="21">
        <f t="shared" si="50"/>
        <v>151799.29399713874</v>
      </c>
    </row>
    <row r="50" spans="1:28" x14ac:dyDescent="0.2">
      <c r="A50" s="11" t="s">
        <v>64</v>
      </c>
      <c r="F50" s="13" t="s">
        <v>90</v>
      </c>
      <c r="G50" s="21">
        <f t="shared" ref="G50" si="51">IF(G$41&lt;OpYr1_C,0,IF(G$41=OpYr1_C,OpYr1Pct_C,1))*Labor_C</f>
        <v>0</v>
      </c>
      <c r="H50" s="21">
        <f t="shared" ref="H50:P50" si="52">IF(H$41&lt;OpYr1_C,0,IF(H$41=OpYr1_C,OpYr1Pct_C,1))*Labor_C*(1+Infl_C)^(H$41-$G$41)</f>
        <v>399749.99999999994</v>
      </c>
      <c r="I50" s="21">
        <f t="shared" si="52"/>
        <v>819487.49999999988</v>
      </c>
      <c r="J50" s="21">
        <f t="shared" si="52"/>
        <v>839974.68749999988</v>
      </c>
      <c r="K50" s="21">
        <f t="shared" si="52"/>
        <v>860974.05468749977</v>
      </c>
      <c r="L50" s="21">
        <f t="shared" si="52"/>
        <v>882498.40605468722</v>
      </c>
      <c r="M50" s="21">
        <f t="shared" si="52"/>
        <v>904560.86620605434</v>
      </c>
      <c r="N50" s="21">
        <f t="shared" si="52"/>
        <v>927174.88786120573</v>
      </c>
      <c r="O50" s="21">
        <f t="shared" si="52"/>
        <v>950354.26005773584</v>
      </c>
      <c r="P50" s="21">
        <f t="shared" si="52"/>
        <v>974113.11655917903</v>
      </c>
      <c r="R50" s="13" t="s">
        <v>90</v>
      </c>
      <c r="S50" s="21">
        <f t="shared" ref="S50" si="53">IF(S$41&lt;OpYr1_A,0,IF(S$41=OpYr1_A,OpYr1Pct_A,1))*Labor_A</f>
        <v>0</v>
      </c>
      <c r="T50" s="21">
        <f t="shared" ref="T50:AB50" si="54">IF(T$41&lt;OpYr1_A,0,IF(T$41=OpYr1_A,OpYr1Pct_A,1))*Labor_A*(1+Infl_A)^(T$41-$S$41)</f>
        <v>399749.99999999994</v>
      </c>
      <c r="U50" s="21">
        <f t="shared" si="54"/>
        <v>819487.49999999988</v>
      </c>
      <c r="V50" s="21">
        <f t="shared" si="54"/>
        <v>839974.68749999988</v>
      </c>
      <c r="W50" s="21">
        <f t="shared" si="54"/>
        <v>860974.05468749977</v>
      </c>
      <c r="X50" s="21">
        <f t="shared" si="54"/>
        <v>882498.40605468722</v>
      </c>
      <c r="Y50" s="21">
        <f t="shared" si="54"/>
        <v>904560.86620605434</v>
      </c>
      <c r="Z50" s="21">
        <f t="shared" si="54"/>
        <v>927174.88786120573</v>
      </c>
      <c r="AA50" s="21">
        <f t="shared" si="54"/>
        <v>950354.26005773584</v>
      </c>
      <c r="AB50" s="21">
        <f t="shared" si="54"/>
        <v>974113.11655917903</v>
      </c>
    </row>
    <row r="51" spans="1:28" ht="13.5" thickBot="1" x14ac:dyDescent="0.25">
      <c r="A51" s="15" t="s">
        <v>66</v>
      </c>
      <c r="F51" s="13" t="s">
        <v>94</v>
      </c>
      <c r="G51" s="21">
        <f t="shared" ref="G51" si="55">IF(G$41&lt;OpYr1_C,0,IF(G$41=OpYr1_C,OpYr1Pct_C,1))*(Maint_C+MajorMaint_C)</f>
        <v>0</v>
      </c>
      <c r="H51" s="21">
        <f t="shared" ref="H51:P51" si="56">IF(H$41&lt;OpYr1_C,0,IF(H$41=OpYr1_C,OpYr1Pct_C,1))*(Maint_C+MajorMaint_C)*(1+Infl_C)^(H$41-$G$41)</f>
        <v>122999.99999999999</v>
      </c>
      <c r="I51" s="21">
        <f t="shared" si="56"/>
        <v>252149.99999999997</v>
      </c>
      <c r="J51" s="21">
        <f t="shared" si="56"/>
        <v>258453.74999999997</v>
      </c>
      <c r="K51" s="21">
        <f t="shared" si="56"/>
        <v>264915.09374999994</v>
      </c>
      <c r="L51" s="21">
        <f t="shared" si="56"/>
        <v>271537.97109374992</v>
      </c>
      <c r="M51" s="21">
        <f t="shared" si="56"/>
        <v>278326.42037109367</v>
      </c>
      <c r="N51" s="21">
        <f t="shared" si="56"/>
        <v>285284.58088037098</v>
      </c>
      <c r="O51" s="21">
        <f t="shared" si="56"/>
        <v>292416.69540238025</v>
      </c>
      <c r="P51" s="21">
        <f t="shared" si="56"/>
        <v>299727.11278743972</v>
      </c>
      <c r="R51" s="13" t="s">
        <v>94</v>
      </c>
      <c r="S51" s="21">
        <f t="shared" ref="S51" si="57">IF(S$41&lt;OpYr1_A,0,IF(S$41=OpYr1_A,OpYr1Pct_A,1))*(Maint_A+MajorMaint_A)</f>
        <v>0</v>
      </c>
      <c r="T51" s="21">
        <f t="shared" ref="T51:AB51" si="58">IF(T$41&lt;OpYr1_A,0,IF(T$41=OpYr1_A,OpYr1Pct_A,1))*(Maint_A+MajorMaint_A)*(1+Infl_A)^(T$41-$S$41)</f>
        <v>140937.5</v>
      </c>
      <c r="U51" s="21">
        <f t="shared" si="58"/>
        <v>288921.875</v>
      </c>
      <c r="V51" s="21">
        <f t="shared" si="58"/>
        <v>296144.92187499994</v>
      </c>
      <c r="W51" s="21">
        <f t="shared" si="58"/>
        <v>303548.54492187494</v>
      </c>
      <c r="X51" s="21">
        <f t="shared" si="58"/>
        <v>311137.25854492176</v>
      </c>
      <c r="Y51" s="21">
        <f t="shared" si="58"/>
        <v>318915.69000854483</v>
      </c>
      <c r="Z51" s="21">
        <f t="shared" si="58"/>
        <v>326888.58225875843</v>
      </c>
      <c r="AA51" s="21">
        <f t="shared" si="58"/>
        <v>335060.79681522737</v>
      </c>
      <c r="AB51" s="21">
        <f t="shared" si="58"/>
        <v>343437.31673560798</v>
      </c>
    </row>
    <row r="52" spans="1:28" ht="16.5" thickTop="1" thickBot="1" x14ac:dyDescent="0.4">
      <c r="A52" s="16" t="s">
        <v>72</v>
      </c>
      <c r="B52" t="s">
        <v>74</v>
      </c>
      <c r="C52" s="161">
        <v>45</v>
      </c>
      <c r="D52" s="162">
        <v>45</v>
      </c>
      <c r="F52" s="13" t="s">
        <v>95</v>
      </c>
      <c r="G52" s="22">
        <f t="shared" ref="G52" si="59">IF(G$41&lt;OpYr1_C,0,IF(G$41=OpYr1_C,OpYr1Pct_C,1))*(Env_C+GA_C)</f>
        <v>0</v>
      </c>
      <c r="H52" s="22">
        <f t="shared" ref="H52:P52" si="60">IF(H$41&lt;OpYr1_C,0,IF(H$41=OpYr1_C,OpYr1Pct_C,1))*(Env_C+GA_C)*(1+Infl_C)^(H$41-$G$41)</f>
        <v>292125</v>
      </c>
      <c r="I52" s="22">
        <f t="shared" si="60"/>
        <v>598856.25</v>
      </c>
      <c r="J52" s="22">
        <f t="shared" si="60"/>
        <v>613827.65624999988</v>
      </c>
      <c r="K52" s="22">
        <f t="shared" si="60"/>
        <v>629173.34765624988</v>
      </c>
      <c r="L52" s="22">
        <f t="shared" si="60"/>
        <v>644902.68134765606</v>
      </c>
      <c r="M52" s="22">
        <f t="shared" si="60"/>
        <v>661025.2483813474</v>
      </c>
      <c r="N52" s="22">
        <f t="shared" si="60"/>
        <v>677550.87959088117</v>
      </c>
      <c r="O52" s="22">
        <f t="shared" si="60"/>
        <v>694489.65158065304</v>
      </c>
      <c r="P52" s="22">
        <f t="shared" si="60"/>
        <v>711851.89287016925</v>
      </c>
      <c r="R52" s="13" t="s">
        <v>95</v>
      </c>
      <c r="S52" s="22">
        <f t="shared" ref="S52" si="61">IF(S$41&lt;OpYr1_A,0,IF(S$41=OpYr1_A,OpYr1Pct_A,1))*(Env_A+GA_A)</f>
        <v>0</v>
      </c>
      <c r="T52" s="22">
        <f t="shared" ref="T52:AB52" si="62">IF(T$41&lt;OpYr1_A,0,IF(T$41=OpYr1_A,OpYr1Pct_A,1))*(Env_A+GA_A)*(1+Infl_A)^(T$41-$S$41)</f>
        <v>322875</v>
      </c>
      <c r="U52" s="22">
        <f t="shared" si="62"/>
        <v>661893.75</v>
      </c>
      <c r="V52" s="22">
        <f t="shared" si="62"/>
        <v>678441.09374999988</v>
      </c>
      <c r="W52" s="22">
        <f t="shared" si="62"/>
        <v>695402.12109374988</v>
      </c>
      <c r="X52" s="22">
        <f t="shared" si="62"/>
        <v>712787.17412109359</v>
      </c>
      <c r="Y52" s="22">
        <f t="shared" si="62"/>
        <v>730606.85347412084</v>
      </c>
      <c r="Z52" s="22">
        <f t="shared" si="62"/>
        <v>748872.0248109739</v>
      </c>
      <c r="AA52" s="22">
        <f t="shared" si="62"/>
        <v>767593.82543124817</v>
      </c>
      <c r="AB52" s="22">
        <f t="shared" si="62"/>
        <v>786783.67106702924</v>
      </c>
    </row>
    <row r="53" spans="1:28" ht="16.5" thickTop="1" thickBot="1" x14ac:dyDescent="0.4">
      <c r="A53" s="16" t="s">
        <v>73</v>
      </c>
      <c r="B53" t="s">
        <v>74</v>
      </c>
      <c r="C53" s="161">
        <v>45</v>
      </c>
      <c r="D53" s="162">
        <v>45</v>
      </c>
      <c r="F53" s="15" t="s">
        <v>25</v>
      </c>
      <c r="G53" s="60">
        <f t="shared" ref="G53:P53" si="63">SUM(G48:G52)</f>
        <v>0</v>
      </c>
      <c r="H53" s="60">
        <f t="shared" si="63"/>
        <v>1435794.375</v>
      </c>
      <c r="I53" s="60">
        <f t="shared" si="63"/>
        <v>2943378.46875</v>
      </c>
      <c r="J53" s="60">
        <f t="shared" si="63"/>
        <v>3016962.9304687497</v>
      </c>
      <c r="K53" s="60">
        <f t="shared" si="63"/>
        <v>3092387.0037304685</v>
      </c>
      <c r="L53" s="60">
        <f t="shared" si="63"/>
        <v>3169696.6788237295</v>
      </c>
      <c r="M53" s="60">
        <f t="shared" si="63"/>
        <v>3248939.0957943229</v>
      </c>
      <c r="N53" s="60">
        <f t="shared" si="63"/>
        <v>3330162.5731891803</v>
      </c>
      <c r="O53" s="60">
        <f t="shared" si="63"/>
        <v>3413416.6375189098</v>
      </c>
      <c r="P53" s="60">
        <f t="shared" si="63"/>
        <v>3498752.053456882</v>
      </c>
      <c r="R53" s="15" t="s">
        <v>25</v>
      </c>
      <c r="S53" s="60">
        <f t="shared" ref="S53:AB53" si="64">SUM(S48:S52)</f>
        <v>0</v>
      </c>
      <c r="T53" s="60">
        <f t="shared" si="64"/>
        <v>1585444.375</v>
      </c>
      <c r="U53" s="60">
        <f t="shared" si="64"/>
        <v>3250160.96875</v>
      </c>
      <c r="V53" s="60">
        <f t="shared" si="64"/>
        <v>3331414.9929687497</v>
      </c>
      <c r="W53" s="60">
        <f t="shared" si="64"/>
        <v>3414700.3677929682</v>
      </c>
      <c r="X53" s="60">
        <f t="shared" si="64"/>
        <v>3500067.8769877921</v>
      </c>
      <c r="Y53" s="60">
        <f t="shared" si="64"/>
        <v>3587569.5739124864</v>
      </c>
      <c r="Z53" s="60">
        <f t="shared" si="64"/>
        <v>3677258.8132602992</v>
      </c>
      <c r="AA53" s="60">
        <f t="shared" si="64"/>
        <v>3769190.283591806</v>
      </c>
      <c r="AB53" s="60">
        <f t="shared" si="64"/>
        <v>3863420.0406816006</v>
      </c>
    </row>
    <row r="54" spans="1:28" ht="14.25" thickTop="1" thickBot="1" x14ac:dyDescent="0.25">
      <c r="A54" s="16" t="s">
        <v>75</v>
      </c>
      <c r="C54" s="17">
        <f>C31*C52+(1-C31)*C53</f>
        <v>45</v>
      </c>
      <c r="D54" s="17">
        <f>D31*D52+(1-D31)*D53</f>
        <v>45</v>
      </c>
      <c r="F54" s="61" t="s">
        <v>26</v>
      </c>
      <c r="G54" s="62">
        <f>G46-G53</f>
        <v>0</v>
      </c>
      <c r="H54" s="62">
        <f t="shared" ref="H54:P54" si="65">H46-H53</f>
        <v>1270205.625</v>
      </c>
      <c r="I54" s="62">
        <f t="shared" si="65"/>
        <v>2468621.53125</v>
      </c>
      <c r="J54" s="62">
        <f t="shared" si="65"/>
        <v>2395037.0695312503</v>
      </c>
      <c r="K54" s="62">
        <f t="shared" si="65"/>
        <v>2319612.9962695315</v>
      </c>
      <c r="L54" s="62">
        <f t="shared" si="65"/>
        <v>2242303.3211762705</v>
      </c>
      <c r="M54" s="62">
        <f t="shared" si="65"/>
        <v>2163060.9042056771</v>
      </c>
      <c r="N54" s="62">
        <f t="shared" si="65"/>
        <v>2081837.4268108197</v>
      </c>
      <c r="O54" s="62">
        <f t="shared" si="65"/>
        <v>1998583.3624810902</v>
      </c>
      <c r="P54" s="62">
        <f t="shared" si="65"/>
        <v>1913247.946543118</v>
      </c>
      <c r="R54" s="61" t="s">
        <v>26</v>
      </c>
      <c r="S54" s="62">
        <f>S46-S53</f>
        <v>0</v>
      </c>
      <c r="T54" s="62">
        <f t="shared" ref="T54:AB54" si="66">T46-T53</f>
        <v>1570223.125</v>
      </c>
      <c r="U54" s="62">
        <f t="shared" si="66"/>
        <v>3083657.40625</v>
      </c>
      <c r="V54" s="62">
        <f t="shared" si="66"/>
        <v>3025448.8414062499</v>
      </c>
      <c r="W54" s="62">
        <f t="shared" si="66"/>
        <v>2965785.0624414063</v>
      </c>
      <c r="X54" s="62">
        <f t="shared" si="66"/>
        <v>2904629.6890024417</v>
      </c>
      <c r="Y54" s="62">
        <f t="shared" si="66"/>
        <v>2841945.4312275033</v>
      </c>
      <c r="Z54" s="62">
        <f t="shared" si="66"/>
        <v>2777694.0670081908</v>
      </c>
      <c r="AA54" s="62">
        <f t="shared" si="66"/>
        <v>2711836.4186833957</v>
      </c>
      <c r="AB54" s="62">
        <f t="shared" si="66"/>
        <v>2644332.3291504811</v>
      </c>
    </row>
    <row r="55" spans="1:28" ht="14.25" thickTop="1" thickBot="1" x14ac:dyDescent="0.25">
      <c r="A55" s="16" t="s">
        <v>92</v>
      </c>
      <c r="B55" t="s">
        <v>93</v>
      </c>
      <c r="C55" s="161">
        <v>4.25</v>
      </c>
      <c r="D55" s="162">
        <v>4.25</v>
      </c>
    </row>
    <row r="56" spans="1:28" ht="14.25" thickTop="1" thickBot="1" x14ac:dyDescent="0.25">
      <c r="A56" s="15" t="s">
        <v>65</v>
      </c>
      <c r="F56" s="20" t="s">
        <v>15</v>
      </c>
      <c r="R56" s="20" t="s">
        <v>15</v>
      </c>
    </row>
    <row r="57" spans="1:28" ht="14.25" thickTop="1" thickBot="1" x14ac:dyDescent="0.25">
      <c r="A57" s="16" t="s">
        <v>76</v>
      </c>
      <c r="B57" t="s">
        <v>77</v>
      </c>
      <c r="C57" s="148">
        <v>8</v>
      </c>
      <c r="D57" s="149">
        <v>8</v>
      </c>
      <c r="F57" s="13" t="s">
        <v>29</v>
      </c>
      <c r="G57">
        <f t="shared" ref="G57:P57" si="67">IF(AND(G$41&gt;=ConstYr1_C,G$41&lt;=ConstYr1_C+ConstMonths_C/12),MIN(12,MAX(0,ConstMonths_C-(G$41-ConstYr1_C)*12)),0)</f>
        <v>12</v>
      </c>
      <c r="H57">
        <f t="shared" si="67"/>
        <v>6</v>
      </c>
      <c r="I57">
        <f t="shared" si="67"/>
        <v>0</v>
      </c>
      <c r="J57">
        <f t="shared" si="67"/>
        <v>0</v>
      </c>
      <c r="K57">
        <f t="shared" si="67"/>
        <v>0</v>
      </c>
      <c r="L57">
        <f t="shared" si="67"/>
        <v>0</v>
      </c>
      <c r="M57">
        <f t="shared" si="67"/>
        <v>0</v>
      </c>
      <c r="N57">
        <f t="shared" si="67"/>
        <v>0</v>
      </c>
      <c r="O57">
        <f t="shared" si="67"/>
        <v>0</v>
      </c>
      <c r="P57">
        <f t="shared" si="67"/>
        <v>0</v>
      </c>
      <c r="R57" s="13" t="s">
        <v>29</v>
      </c>
      <c r="S57">
        <f t="shared" ref="S57:AB57" si="68">IF(AND(S$41&gt;=ConstYr1_A,S$41&lt;=ConstYr1_A+ConstMonths_A/12),MIN(12,MAX(0,ConstMonths_A-(S$41-ConstYr1_A)*12)),0)</f>
        <v>12</v>
      </c>
      <c r="T57">
        <f t="shared" si="68"/>
        <v>6</v>
      </c>
      <c r="U57">
        <f t="shared" si="68"/>
        <v>0</v>
      </c>
      <c r="V57">
        <f t="shared" si="68"/>
        <v>0</v>
      </c>
      <c r="W57">
        <f t="shared" si="68"/>
        <v>0</v>
      </c>
      <c r="X57">
        <f t="shared" si="68"/>
        <v>0</v>
      </c>
      <c r="Y57">
        <f t="shared" si="68"/>
        <v>0</v>
      </c>
      <c r="Z57">
        <f t="shared" si="68"/>
        <v>0</v>
      </c>
      <c r="AA57">
        <f t="shared" si="68"/>
        <v>0</v>
      </c>
      <c r="AB57">
        <f t="shared" si="68"/>
        <v>0</v>
      </c>
    </row>
    <row r="58" spans="1:28" ht="14.25" thickTop="1" thickBot="1" x14ac:dyDescent="0.25">
      <c r="A58" s="16" t="s">
        <v>78</v>
      </c>
      <c r="B58" t="s">
        <v>81</v>
      </c>
      <c r="C58" s="163">
        <v>65000</v>
      </c>
      <c r="D58" s="155">
        <v>65000</v>
      </c>
      <c r="F58" s="13" t="s">
        <v>30</v>
      </c>
      <c r="G58" s="23">
        <f t="shared" ref="G58:P58" si="69">CapX_C*G57/ConstMonths_C</f>
        <v>15200000</v>
      </c>
      <c r="H58" s="23">
        <f t="shared" si="69"/>
        <v>7600000</v>
      </c>
      <c r="I58" s="23">
        <f t="shared" si="69"/>
        <v>0</v>
      </c>
      <c r="J58" s="23">
        <f t="shared" si="69"/>
        <v>0</v>
      </c>
      <c r="K58" s="23">
        <f t="shared" si="69"/>
        <v>0</v>
      </c>
      <c r="L58" s="23">
        <f t="shared" si="69"/>
        <v>0</v>
      </c>
      <c r="M58" s="23">
        <f t="shared" si="69"/>
        <v>0</v>
      </c>
      <c r="N58" s="23">
        <f t="shared" si="69"/>
        <v>0</v>
      </c>
      <c r="O58" s="23">
        <f t="shared" si="69"/>
        <v>0</v>
      </c>
      <c r="P58" s="23">
        <f t="shared" si="69"/>
        <v>0</v>
      </c>
      <c r="R58" s="13" t="s">
        <v>30</v>
      </c>
      <c r="S58" s="23">
        <f t="shared" ref="S58:AB58" si="70">SSB_CapX*S57/ConstMonths_A</f>
        <v>16040000</v>
      </c>
      <c r="T58" s="23">
        <f t="shared" si="70"/>
        <v>8020000</v>
      </c>
      <c r="U58" s="23">
        <f t="shared" si="70"/>
        <v>0</v>
      </c>
      <c r="V58" s="23">
        <f t="shared" si="70"/>
        <v>0</v>
      </c>
      <c r="W58" s="23">
        <f t="shared" si="70"/>
        <v>0</v>
      </c>
      <c r="X58" s="23">
        <f t="shared" si="70"/>
        <v>0</v>
      </c>
      <c r="Y58" s="23">
        <f t="shared" si="70"/>
        <v>0</v>
      </c>
      <c r="Z58" s="23">
        <f t="shared" si="70"/>
        <v>0</v>
      </c>
      <c r="AA58" s="23">
        <f t="shared" si="70"/>
        <v>0</v>
      </c>
      <c r="AB58" s="23">
        <f t="shared" si="70"/>
        <v>0</v>
      </c>
    </row>
    <row r="59" spans="1:28" ht="14.25" thickTop="1" thickBot="1" x14ac:dyDescent="0.25">
      <c r="A59" s="16" t="s">
        <v>79</v>
      </c>
      <c r="B59" t="s">
        <v>80</v>
      </c>
      <c r="C59" s="160">
        <v>0.5</v>
      </c>
      <c r="D59" s="152">
        <v>0.5</v>
      </c>
    </row>
    <row r="60" spans="1:28" ht="13.5" thickTop="1" x14ac:dyDescent="0.2">
      <c r="A60" s="16" t="s">
        <v>89</v>
      </c>
      <c r="C60" s="12">
        <f>C57*C58*(1+C59)</f>
        <v>780000</v>
      </c>
      <c r="D60" s="12">
        <f t="shared" ref="D60" si="71">D57*D58*(1+D59)</f>
        <v>780000</v>
      </c>
      <c r="F60" s="20" t="s">
        <v>31</v>
      </c>
      <c r="R60" s="20" t="s">
        <v>31</v>
      </c>
    </row>
    <row r="61" spans="1:28" ht="13.5" thickBot="1" x14ac:dyDescent="0.25">
      <c r="A61" s="15" t="s">
        <v>67</v>
      </c>
      <c r="F61" s="13" t="s">
        <v>32</v>
      </c>
      <c r="G61" s="23">
        <f t="shared" ref="G61:P61" si="72">G54-G58</f>
        <v>-15200000</v>
      </c>
      <c r="H61" s="23">
        <f t="shared" si="72"/>
        <v>-6329794.375</v>
      </c>
      <c r="I61" s="23">
        <f t="shared" si="72"/>
        <v>2468621.53125</v>
      </c>
      <c r="J61" s="23">
        <f t="shared" si="72"/>
        <v>2395037.0695312503</v>
      </c>
      <c r="K61" s="23">
        <f t="shared" si="72"/>
        <v>2319612.9962695315</v>
      </c>
      <c r="L61" s="23">
        <f t="shared" si="72"/>
        <v>2242303.3211762705</v>
      </c>
      <c r="M61" s="23">
        <f t="shared" si="72"/>
        <v>2163060.9042056771</v>
      </c>
      <c r="N61" s="23">
        <f t="shared" si="72"/>
        <v>2081837.4268108197</v>
      </c>
      <c r="O61" s="23">
        <f t="shared" si="72"/>
        <v>1998583.3624810902</v>
      </c>
      <c r="P61" s="23">
        <f t="shared" si="72"/>
        <v>1913247.946543118</v>
      </c>
      <c r="R61" s="13" t="s">
        <v>32</v>
      </c>
      <c r="S61" s="23">
        <f t="shared" ref="S61:AB61" si="73">S54-S58</f>
        <v>-16040000</v>
      </c>
      <c r="T61" s="23">
        <f t="shared" si="73"/>
        <v>-6449776.875</v>
      </c>
      <c r="U61" s="23">
        <f t="shared" si="73"/>
        <v>3083657.40625</v>
      </c>
      <c r="V61" s="23">
        <f t="shared" si="73"/>
        <v>3025448.8414062499</v>
      </c>
      <c r="W61" s="23">
        <f t="shared" si="73"/>
        <v>2965785.0624414063</v>
      </c>
      <c r="X61" s="23">
        <f t="shared" si="73"/>
        <v>2904629.6890024417</v>
      </c>
      <c r="Y61" s="23">
        <f t="shared" si="73"/>
        <v>2841945.4312275033</v>
      </c>
      <c r="Z61" s="23">
        <f t="shared" si="73"/>
        <v>2777694.0670081908</v>
      </c>
      <c r="AA61" s="23">
        <f t="shared" si="73"/>
        <v>2711836.4186833957</v>
      </c>
      <c r="AB61" s="23">
        <f t="shared" si="73"/>
        <v>2644332.3291504811</v>
      </c>
    </row>
    <row r="62" spans="1:28" ht="14.25" thickTop="1" thickBot="1" x14ac:dyDescent="0.25">
      <c r="A62" s="16" t="s">
        <v>68</v>
      </c>
      <c r="C62" s="163">
        <v>200000</v>
      </c>
      <c r="D62" s="155">
        <v>225000</v>
      </c>
      <c r="F62" s="13" t="s">
        <v>33</v>
      </c>
      <c r="G62" s="23">
        <f>G61</f>
        <v>-15200000</v>
      </c>
      <c r="H62" s="23">
        <f>G62+H61</f>
        <v>-21529794.375</v>
      </c>
      <c r="I62" s="23">
        <f t="shared" ref="I62:K62" si="74">H62+I61</f>
        <v>-19061172.84375</v>
      </c>
      <c r="J62" s="23">
        <f t="shared" si="74"/>
        <v>-16666135.774218749</v>
      </c>
      <c r="K62" s="23">
        <f t="shared" si="74"/>
        <v>-14346522.777949218</v>
      </c>
      <c r="L62" s="23">
        <f t="shared" ref="L62" si="75">K62+L61</f>
        <v>-12104219.456772948</v>
      </c>
      <c r="M62" s="23">
        <f t="shared" ref="M62" si="76">L62+M61</f>
        <v>-9941158.5525672697</v>
      </c>
      <c r="N62" s="23">
        <f t="shared" ref="N62" si="77">M62+N61</f>
        <v>-7859321.12575645</v>
      </c>
      <c r="O62" s="23">
        <f t="shared" ref="O62" si="78">N62+O61</f>
        <v>-5860737.7632753598</v>
      </c>
      <c r="P62" s="23">
        <f t="shared" ref="P62" si="79">O62+P61</f>
        <v>-3947489.8167322418</v>
      </c>
      <c r="R62" s="13" t="s">
        <v>33</v>
      </c>
      <c r="S62" s="23">
        <f>S61</f>
        <v>-16040000</v>
      </c>
      <c r="T62" s="23">
        <f>S62+T61</f>
        <v>-22489776.875</v>
      </c>
      <c r="U62" s="23">
        <f t="shared" ref="U62" si="80">T62+U61</f>
        <v>-19406119.46875</v>
      </c>
      <c r="V62" s="23">
        <f t="shared" ref="V62" si="81">U62+V61</f>
        <v>-16380670.62734375</v>
      </c>
      <c r="W62" s="23">
        <f t="shared" ref="W62" si="82">V62+W61</f>
        <v>-13414885.564902343</v>
      </c>
      <c r="X62" s="23">
        <f t="shared" ref="X62" si="83">W62+X61</f>
        <v>-10510255.875899902</v>
      </c>
      <c r="Y62" s="23">
        <f t="shared" ref="Y62" si="84">X62+Y61</f>
        <v>-7668310.4446723983</v>
      </c>
      <c r="Z62" s="23">
        <f t="shared" ref="Z62" si="85">Y62+Z61</f>
        <v>-4890616.3776642075</v>
      </c>
      <c r="AA62" s="23">
        <f t="shared" ref="AA62" si="86">Z62+AA61</f>
        <v>-2178779.9589808118</v>
      </c>
      <c r="AB62" s="23">
        <f t="shared" ref="AB62" si="87">AA62+AB61</f>
        <v>465552.37016966939</v>
      </c>
    </row>
    <row r="63" spans="1:28" ht="14.25" thickTop="1" thickBot="1" x14ac:dyDescent="0.25">
      <c r="A63" s="18" t="s">
        <v>69</v>
      </c>
      <c r="C63" s="154">
        <v>40000</v>
      </c>
      <c r="D63" s="155">
        <v>50000</v>
      </c>
    </row>
    <row r="64" spans="1:28" ht="14.25" thickTop="1" thickBot="1" x14ac:dyDescent="0.25">
      <c r="A64" s="16" t="s">
        <v>70</v>
      </c>
      <c r="C64" s="163">
        <v>100000</v>
      </c>
      <c r="D64" s="155">
        <v>130000</v>
      </c>
      <c r="F64" s="83" t="s">
        <v>169</v>
      </c>
      <c r="R64" s="83" t="s">
        <v>169</v>
      </c>
    </row>
    <row r="65" spans="1:19" ht="14.25" thickTop="1" thickBot="1" x14ac:dyDescent="0.25">
      <c r="A65" s="16" t="s">
        <v>71</v>
      </c>
      <c r="B65" t="s">
        <v>223</v>
      </c>
      <c r="C65" s="163">
        <v>470000</v>
      </c>
      <c r="D65" s="155">
        <v>500000</v>
      </c>
      <c r="F65" t="s">
        <v>170</v>
      </c>
      <c r="G65">
        <f>IF(SSB_SA_OCF&lt;0,"n/a",MATCH(0,$G$62:$P$62,1)+FLOOR(IF(P62&lt;0,(-1)*P62/P61,0),1))</f>
        <v>12</v>
      </c>
      <c r="R65" t="s">
        <v>170</v>
      </c>
      <c r="S65">
        <f>IF(SSB_OCF&lt;0,"n/a",MATCH(0,$S$62:$AB$62,1)+FLOOR(IF(AB62&lt;0,(-1)*AB62/AB61,0),1))</f>
        <v>9</v>
      </c>
    </row>
    <row r="66" spans="1:19" ht="13.5" thickTop="1" x14ac:dyDescent="0.2">
      <c r="A66" s="16"/>
      <c r="F66" t="s">
        <v>171</v>
      </c>
      <c r="G66">
        <f ca="1">IF(SSB_OCF&lt;0,"n/a",CEILING(12*IF(P62&gt;0,OFFSET(G62,0,G65-1)/(OFFSET(G62,0,G65-1)-OFFSET(G62,0,G65)),((-P62/P61)-FLOOR(-P62/P61,1))),1))</f>
        <v>1</v>
      </c>
      <c r="R66" t="s">
        <v>171</v>
      </c>
      <c r="S66">
        <f ca="1">IF(SSB_OCF&lt;0,"n/a",CEILING(12*IF(AB62&gt;0,OFFSET(S62,0,S65-1)/(OFFSET(S62,0,S65-1)-OFFSET(S62,0,S65)),((-AB62/AB61)-FLOOR(-AB62/AB61,1))),1))</f>
        <v>10</v>
      </c>
    </row>
    <row r="67" spans="1:19" ht="13.5" thickBot="1" x14ac:dyDescent="0.25">
      <c r="A67" s="11" t="s">
        <v>23</v>
      </c>
      <c r="F67" t="s">
        <v>172</v>
      </c>
      <c r="G67">
        <f ca="1">IF(SSB_OCF&lt;0,"n/a",IF(OpYr1_A&gt;MAX(modelYears),"n/a",12*G65+G66))</f>
        <v>145</v>
      </c>
      <c r="R67" t="s">
        <v>172</v>
      </c>
      <c r="S67">
        <f ca="1">IF(SSB_OCF&lt;0,"n/a",IF(OpYr1_A&gt;MAX(modelYears),"n/a",12*S65+S66))</f>
        <v>118</v>
      </c>
    </row>
    <row r="68" spans="1:19" ht="14.25" thickTop="1" thickBot="1" x14ac:dyDescent="0.25">
      <c r="A68" s="13" t="s">
        <v>49</v>
      </c>
      <c r="B68" t="s">
        <v>82</v>
      </c>
      <c r="C68" s="161">
        <v>0.22</v>
      </c>
      <c r="D68" s="162">
        <v>0.22</v>
      </c>
      <c r="F68" t="s">
        <v>173</v>
      </c>
      <c r="G68">
        <f>IF(SSB_OCF&lt;0,"n/a",IF(OpYr1_A&gt;MAX(modelYears),"n/a",G41+G65))</f>
        <v>2029</v>
      </c>
      <c r="R68" t="s">
        <v>173</v>
      </c>
      <c r="S68">
        <f>IF(SSB_OCF&lt;0,"n/a",IF(OpYr1_A&gt;MAX(modelYears),"n/a",S41+S65))</f>
        <v>2026</v>
      </c>
    </row>
    <row r="69" spans="1:19" ht="14.25" thickTop="1" thickBot="1" x14ac:dyDescent="0.25">
      <c r="A69" s="13" t="s">
        <v>50</v>
      </c>
      <c r="B69" t="s">
        <v>83</v>
      </c>
      <c r="C69" s="161">
        <v>10.7</v>
      </c>
      <c r="D69" s="162">
        <v>10.7</v>
      </c>
    </row>
    <row r="70" spans="1:19" ht="14.25" thickTop="1" thickBot="1" x14ac:dyDescent="0.25">
      <c r="A70" s="13" t="s">
        <v>84</v>
      </c>
      <c r="B70" t="s">
        <v>85</v>
      </c>
      <c r="C70" s="150">
        <v>1000</v>
      </c>
      <c r="D70" s="151">
        <v>1000</v>
      </c>
      <c r="F70" t="s">
        <v>255</v>
      </c>
      <c r="G70" s="137">
        <f>NPV(HurdleRate,G61:P61,SSB_SA_OCF*TVmult)</f>
        <v>-2480606.9885337148</v>
      </c>
      <c r="R70" t="s">
        <v>255</v>
      </c>
      <c r="S70" s="23">
        <f>S61+NPV(HurdleRate,T61:AB61,SSB_OCF*TVmult)</f>
        <v>2358518.7377808355</v>
      </c>
    </row>
    <row r="71" spans="1:19" ht="13.5" thickTop="1" x14ac:dyDescent="0.2">
      <c r="F71" t="s">
        <v>254</v>
      </c>
      <c r="G71" s="138">
        <f>SSB_SA_OCF/OSB_CapX</f>
        <v>1.1511720496649325E-2</v>
      </c>
      <c r="R71" t="s">
        <v>254</v>
      </c>
      <c r="S71" s="138">
        <f>SSB_OCF/OSB_CapX</f>
        <v>1.591054349669363E-2</v>
      </c>
    </row>
    <row r="72" spans="1:19" ht="13.5" thickBot="1" x14ac:dyDescent="0.25">
      <c r="A72" s="11" t="s">
        <v>205</v>
      </c>
    </row>
    <row r="73" spans="1:19" ht="14.25" thickTop="1" thickBot="1" x14ac:dyDescent="0.25">
      <c r="A73" s="13" t="s">
        <v>206</v>
      </c>
      <c r="C73" s="134">
        <v>0</v>
      </c>
      <c r="D73" s="164">
        <v>0</v>
      </c>
    </row>
    <row r="74" spans="1:19" ht="13.5" thickTop="1" x14ac:dyDescent="0.2"/>
  </sheetData>
  <mergeCells count="2">
    <mergeCell ref="C13:C14"/>
    <mergeCell ref="D13:D14"/>
  </mergeCells>
  <phoneticPr fontId="11" type="noConversion"/>
  <dataValidations count="1">
    <dataValidation type="list" allowBlank="1" showInputMessage="1" showErrorMessage="1" sqref="C45:D45">
      <formula1>modelYears</formula1>
    </dataValidation>
  </dataValidations>
  <pageMargins left="0.7" right="0.7" top="0.75" bottom="0.75" header="0.3" footer="0.3"/>
  <pageSetup scale="40" orientation="landscape" horizontalDpi="4294967292" verticalDpi="4294967292" r:id="rId1"/>
  <drawing r:id="rId2"/>
  <legacyDrawing r:id="rId3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7" tint="-0.249977111117893"/>
    <pageSetUpPr fitToPage="1"/>
  </sheetPr>
  <dimension ref="A1:S99"/>
  <sheetViews>
    <sheetView zoomScale="80" zoomScaleNormal="80" zoomScalePageLayoutView="125" workbookViewId="0">
      <pane ySplit="8" topLeftCell="A21" activePane="bottomLeft" state="frozen"/>
      <selection pane="bottomLeft" activeCell="H1" sqref="H1:O1048576"/>
    </sheetView>
  </sheetViews>
  <sheetFormatPr defaultColWidth="8.7109375" defaultRowHeight="12.75" x14ac:dyDescent="0.2"/>
  <cols>
    <col min="1" max="1" width="29.28515625" customWidth="1"/>
    <col min="2" max="2" width="45.28515625" bestFit="1" customWidth="1"/>
    <col min="3" max="3" width="17.140625" customWidth="1"/>
    <col min="4" max="4" width="3.42578125" customWidth="1"/>
    <col min="5" max="5" width="36" bestFit="1" customWidth="1"/>
    <col min="6" max="7" width="13.7109375" bestFit="1" customWidth="1"/>
    <col min="8" max="11" width="13.7109375" style="230" bestFit="1" customWidth="1"/>
    <col min="12" max="12" width="14.5703125" style="230" bestFit="1" customWidth="1"/>
    <col min="13" max="15" width="13.140625" style="230" bestFit="1" customWidth="1"/>
    <col min="18" max="19" width="11" bestFit="1" customWidth="1"/>
  </cols>
  <sheetData>
    <row r="1" spans="1:15" s="30" customFormat="1" x14ac:dyDescent="0.2">
      <c r="A1" s="32" t="str">
        <f>doctitle</f>
        <v>High-Level Feasibility Model</v>
      </c>
      <c r="B1" s="29"/>
      <c r="C1" s="132" t="s">
        <v>224</v>
      </c>
      <c r="H1" s="242"/>
      <c r="I1" s="242"/>
      <c r="J1" s="242"/>
      <c r="K1" s="242"/>
      <c r="L1" s="242"/>
      <c r="M1" s="242"/>
      <c r="N1" s="242"/>
      <c r="O1" s="132" t="s">
        <v>224</v>
      </c>
    </row>
    <row r="2" spans="1:15" s="30" customFormat="1" x14ac:dyDescent="0.2">
      <c r="A2" s="32" t="str">
        <f>docclient</f>
        <v>National Forest Foundation</v>
      </c>
      <c r="B2" s="29"/>
      <c r="H2" s="242"/>
      <c r="I2" s="242"/>
      <c r="J2" s="242"/>
      <c r="K2" s="242"/>
      <c r="L2" s="242"/>
      <c r="M2" s="242"/>
      <c r="N2" s="242"/>
      <c r="O2" s="242"/>
    </row>
    <row r="3" spans="1:15" s="30" customFormat="1" x14ac:dyDescent="0.2">
      <c r="A3" s="32" t="str">
        <f>docproject</f>
        <v>California Assessment of Wood Business Innovation Opportunities and Markets</v>
      </c>
      <c r="B3" s="29"/>
      <c r="H3" s="242"/>
      <c r="I3" s="242"/>
      <c r="J3" s="242"/>
      <c r="K3" s="242"/>
      <c r="L3" s="242"/>
      <c r="M3" s="242"/>
      <c r="N3" s="242"/>
      <c r="O3" s="242"/>
    </row>
    <row r="4" spans="1:15" s="30" customFormat="1" x14ac:dyDescent="0.2">
      <c r="A4" s="31" t="str">
        <f>docversion</f>
        <v>Final Draft - December 31, 2015</v>
      </c>
      <c r="B4" s="31"/>
      <c r="H4" s="242"/>
      <c r="I4" s="242"/>
      <c r="J4" s="242"/>
      <c r="K4" s="242"/>
      <c r="L4" s="242"/>
      <c r="M4" s="242"/>
      <c r="N4" s="242"/>
      <c r="O4" s="242"/>
    </row>
    <row r="5" spans="1:15" s="7" customFormat="1" x14ac:dyDescent="0.2">
      <c r="A5" s="6"/>
      <c r="B5" s="6"/>
      <c r="H5" s="229"/>
      <c r="I5" s="229"/>
      <c r="J5" s="229"/>
      <c r="K5" s="229"/>
      <c r="L5" s="229"/>
      <c r="M5" s="229"/>
      <c r="N5" s="229"/>
      <c r="O5" s="229"/>
    </row>
    <row r="6" spans="1:15" s="7" customFormat="1" ht="15.75" x14ac:dyDescent="0.25">
      <c r="A6" s="34" t="s">
        <v>41</v>
      </c>
      <c r="B6" s="8"/>
      <c r="H6" s="229"/>
      <c r="I6" s="229"/>
      <c r="J6" s="229"/>
      <c r="K6" s="229"/>
      <c r="L6" s="229"/>
      <c r="M6" s="229"/>
      <c r="N6" s="229"/>
      <c r="O6" s="229"/>
    </row>
    <row r="8" spans="1:15" x14ac:dyDescent="0.2">
      <c r="A8" s="33" t="s">
        <v>3</v>
      </c>
      <c r="B8" s="33"/>
      <c r="C8" s="33"/>
      <c r="E8" s="33" t="s">
        <v>5</v>
      </c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x14ac:dyDescent="0.2">
      <c r="A9" s="35" t="s">
        <v>44</v>
      </c>
      <c r="B9" s="5"/>
    </row>
    <row r="10" spans="1:15" x14ac:dyDescent="0.2">
      <c r="A10" s="35" t="s">
        <v>151</v>
      </c>
      <c r="E10" s="116" t="s">
        <v>180</v>
      </c>
      <c r="F10" s="37"/>
      <c r="G10" s="37"/>
      <c r="H10" s="243"/>
      <c r="I10" s="243"/>
      <c r="J10" s="243"/>
      <c r="K10" s="243"/>
      <c r="L10" s="243"/>
      <c r="M10" s="243"/>
      <c r="N10" s="243"/>
      <c r="O10" s="243"/>
    </row>
    <row r="11" spans="1:15" x14ac:dyDescent="0.2">
      <c r="E11" s="37"/>
      <c r="F11" s="37"/>
      <c r="G11" s="37"/>
      <c r="H11" s="243"/>
      <c r="I11" s="243"/>
      <c r="J11" s="243"/>
      <c r="K11" s="243"/>
      <c r="L11" s="243"/>
      <c r="M11" s="243"/>
      <c r="N11" s="243"/>
      <c r="O11" s="243"/>
    </row>
    <row r="12" spans="1:15" ht="13.5" thickBot="1" x14ac:dyDescent="0.25">
      <c r="A12" s="77" t="s">
        <v>7</v>
      </c>
      <c r="B12" s="36" t="s">
        <v>35</v>
      </c>
      <c r="C12" s="64"/>
      <c r="E12" s="37"/>
      <c r="F12" s="116">
        <f>F43</f>
        <v>2017</v>
      </c>
      <c r="G12" s="116">
        <f t="shared" ref="G12:O12" si="0">G43</f>
        <v>2018</v>
      </c>
      <c r="H12" s="244">
        <f t="shared" si="0"/>
        <v>2019</v>
      </c>
      <c r="I12" s="244">
        <f t="shared" si="0"/>
        <v>2020</v>
      </c>
      <c r="J12" s="244">
        <f t="shared" si="0"/>
        <v>2021</v>
      </c>
      <c r="K12" s="244">
        <f t="shared" si="0"/>
        <v>2022</v>
      </c>
      <c r="L12" s="244">
        <f t="shared" si="0"/>
        <v>2023</v>
      </c>
      <c r="M12" s="244">
        <f t="shared" si="0"/>
        <v>2024</v>
      </c>
      <c r="N12" s="244">
        <f t="shared" si="0"/>
        <v>2025</v>
      </c>
      <c r="O12" s="244">
        <f t="shared" si="0"/>
        <v>2026</v>
      </c>
    </row>
    <row r="13" spans="1:15" ht="14.25" thickTop="1" thickBot="1" x14ac:dyDescent="0.25">
      <c r="A13" s="13" t="s">
        <v>100</v>
      </c>
      <c r="B13" t="s">
        <v>168</v>
      </c>
      <c r="C13" s="165">
        <v>22890</v>
      </c>
      <c r="E13" s="37" t="s">
        <v>167</v>
      </c>
      <c r="F13" s="80">
        <f>OSB_MktBase*(1+OSB_Growth)</f>
        <v>2346.2249999999999</v>
      </c>
      <c r="G13" s="80">
        <f t="shared" ref="G13:O13" si="1">F13*(1+OSB_Growth)</f>
        <v>2404.8806249999998</v>
      </c>
      <c r="H13" s="245">
        <f t="shared" si="1"/>
        <v>2465.0026406249995</v>
      </c>
      <c r="I13" s="245">
        <f t="shared" si="1"/>
        <v>2526.6277066406242</v>
      </c>
      <c r="J13" s="245">
        <f t="shared" si="1"/>
        <v>2589.7933993066395</v>
      </c>
      <c r="K13" s="245">
        <f t="shared" si="1"/>
        <v>2654.5382342893054</v>
      </c>
      <c r="L13" s="245">
        <f t="shared" si="1"/>
        <v>2720.9016901465379</v>
      </c>
      <c r="M13" s="245">
        <f t="shared" si="1"/>
        <v>2788.9242324002012</v>
      </c>
      <c r="N13" s="245">
        <f t="shared" si="1"/>
        <v>2858.6473382102058</v>
      </c>
      <c r="O13" s="245">
        <f t="shared" si="1"/>
        <v>2930.1135216654607</v>
      </c>
    </row>
    <row r="14" spans="1:15" ht="16.5" thickTop="1" thickBot="1" x14ac:dyDescent="0.25">
      <c r="A14" s="13" t="s">
        <v>152</v>
      </c>
      <c r="B14" s="65" t="s">
        <v>101</v>
      </c>
      <c r="C14" s="166">
        <v>0.1</v>
      </c>
      <c r="E14" s="37" t="s">
        <v>166</v>
      </c>
      <c r="F14" s="81">
        <f t="shared" ref="F14:O14" si="2">IF(F$43&lt;OSB_OpYr1,0,IF(F$43=OSB_OpYr1,OSB_OpYr1Pct,1))*(OSB_Output)</f>
        <v>0</v>
      </c>
      <c r="G14" s="81">
        <f t="shared" si="2"/>
        <v>0</v>
      </c>
      <c r="H14" s="246">
        <f t="shared" si="2"/>
        <v>237.50000000000003</v>
      </c>
      <c r="I14" s="246">
        <f t="shared" si="2"/>
        <v>475.00000000000006</v>
      </c>
      <c r="J14" s="246">
        <f t="shared" si="2"/>
        <v>475.00000000000006</v>
      </c>
      <c r="K14" s="246">
        <f t="shared" si="2"/>
        <v>475.00000000000006</v>
      </c>
      <c r="L14" s="246">
        <f t="shared" si="2"/>
        <v>475.00000000000006</v>
      </c>
      <c r="M14" s="246">
        <f t="shared" si="2"/>
        <v>475.00000000000006</v>
      </c>
      <c r="N14" s="246">
        <f t="shared" si="2"/>
        <v>475.00000000000006</v>
      </c>
      <c r="O14" s="246">
        <f t="shared" si="2"/>
        <v>475.00000000000006</v>
      </c>
    </row>
    <row r="15" spans="1:15" ht="14.25" thickTop="1" thickBot="1" x14ac:dyDescent="0.25">
      <c r="A15" s="13" t="s">
        <v>8</v>
      </c>
      <c r="B15" s="65" t="s">
        <v>168</v>
      </c>
      <c r="C15" s="10">
        <f>PRODUCT(C13:C14)</f>
        <v>2289</v>
      </c>
      <c r="E15" s="37" t="s">
        <v>150</v>
      </c>
      <c r="F15" s="76">
        <f>IFERROR(F14/F13,"")</f>
        <v>0</v>
      </c>
      <c r="G15" s="76">
        <f t="shared" ref="G15:O15" si="3">IFERROR(G14/G13,"")</f>
        <v>0</v>
      </c>
      <c r="H15" s="247">
        <f t="shared" si="3"/>
        <v>9.6348781167951245E-2</v>
      </c>
      <c r="I15" s="247">
        <f t="shared" si="3"/>
        <v>0.18799762179112439</v>
      </c>
      <c r="J15" s="247">
        <f t="shared" si="3"/>
        <v>0.18341231394256041</v>
      </c>
      <c r="K15" s="247">
        <f t="shared" si="3"/>
        <v>0.17893884287079065</v>
      </c>
      <c r="L15" s="247">
        <f t="shared" si="3"/>
        <v>0.17457448084955185</v>
      </c>
      <c r="M15" s="247">
        <f t="shared" si="3"/>
        <v>0.17031656668248962</v>
      </c>
      <c r="N15" s="247">
        <f t="shared" si="3"/>
        <v>0.1661625040804777</v>
      </c>
      <c r="O15" s="247">
        <f t="shared" si="3"/>
        <v>0.16210976007851485</v>
      </c>
    </row>
    <row r="16" spans="1:15" ht="14.25" thickTop="1" thickBot="1" x14ac:dyDescent="0.25">
      <c r="A16" s="13" t="s">
        <v>164</v>
      </c>
      <c r="B16" s="24" t="s">
        <v>165</v>
      </c>
      <c r="C16" s="167">
        <v>2.5000000000000001E-2</v>
      </c>
    </row>
    <row r="17" spans="1:3" ht="13.5" thickTop="1" x14ac:dyDescent="0.2"/>
    <row r="18" spans="1:3" ht="13.5" thickBot="1" x14ac:dyDescent="0.25">
      <c r="A18" s="36" t="s">
        <v>19</v>
      </c>
      <c r="C18" s="13"/>
    </row>
    <row r="19" spans="1:3" ht="14.25" thickTop="1" thickBot="1" x14ac:dyDescent="0.25">
      <c r="A19" s="14" t="s">
        <v>20</v>
      </c>
      <c r="B19" t="s">
        <v>153</v>
      </c>
      <c r="C19" s="165">
        <f>475000/7200</f>
        <v>65.972222222222229</v>
      </c>
    </row>
    <row r="20" spans="1:3" ht="14.25" thickTop="1" thickBot="1" x14ac:dyDescent="0.25">
      <c r="A20" s="14" t="s">
        <v>103</v>
      </c>
      <c r="B20" t="s">
        <v>104</v>
      </c>
      <c r="C20" s="165">
        <f>6*24*50</f>
        <v>7200</v>
      </c>
    </row>
    <row r="21" spans="1:3" ht="14.25" thickTop="1" thickBot="1" x14ac:dyDescent="0.25">
      <c r="A21" s="14" t="s">
        <v>105</v>
      </c>
      <c r="B21" t="s">
        <v>106</v>
      </c>
      <c r="C21" s="167">
        <v>0</v>
      </c>
    </row>
    <row r="22" spans="1:3" ht="13.5" thickTop="1" x14ac:dyDescent="0.2">
      <c r="A22" s="14" t="s">
        <v>87</v>
      </c>
      <c r="C22" s="10">
        <f>C20*(1+C21)</f>
        <v>7200</v>
      </c>
    </row>
    <row r="23" spans="1:3" x14ac:dyDescent="0.2">
      <c r="A23" s="14" t="s">
        <v>132</v>
      </c>
      <c r="B23" t="s">
        <v>154</v>
      </c>
      <c r="C23" s="10">
        <f>C19*C22/1000</f>
        <v>475.00000000000006</v>
      </c>
    </row>
    <row r="24" spans="1:3" x14ac:dyDescent="0.2">
      <c r="C24" s="10"/>
    </row>
    <row r="25" spans="1:3" x14ac:dyDescent="0.2">
      <c r="A25" s="213"/>
      <c r="B25" s="203"/>
      <c r="C25" s="203"/>
    </row>
    <row r="26" spans="1:3" x14ac:dyDescent="0.2">
      <c r="A26" s="14"/>
      <c r="B26" s="203"/>
      <c r="C26" s="214"/>
    </row>
    <row r="27" spans="1:3" x14ac:dyDescent="0.2">
      <c r="A27" s="14"/>
      <c r="B27" s="203"/>
      <c r="C27" s="208"/>
    </row>
    <row r="28" spans="1:3" x14ac:dyDescent="0.2">
      <c r="B28" s="104"/>
    </row>
    <row r="29" spans="1:3" ht="13.5" thickBot="1" x14ac:dyDescent="0.25">
      <c r="A29" s="36" t="s">
        <v>14</v>
      </c>
      <c r="B29" s="57"/>
    </row>
    <row r="30" spans="1:3" ht="14.25" thickTop="1" thickBot="1" x14ac:dyDescent="0.25">
      <c r="A30" s="13" t="s">
        <v>15</v>
      </c>
      <c r="B30" t="s">
        <v>245</v>
      </c>
      <c r="C30" s="168">
        <v>166200000</v>
      </c>
    </row>
    <row r="31" spans="1:3" ht="14.25" thickTop="1" thickBot="1" x14ac:dyDescent="0.25">
      <c r="A31" s="13" t="s">
        <v>236</v>
      </c>
      <c r="B31" t="s">
        <v>237</v>
      </c>
      <c r="C31" s="169">
        <v>120</v>
      </c>
    </row>
    <row r="32" spans="1:3" ht="14.25" thickTop="1" thickBot="1" x14ac:dyDescent="0.25">
      <c r="A32" s="13" t="s">
        <v>55</v>
      </c>
      <c r="B32" t="s">
        <v>56</v>
      </c>
      <c r="C32" s="168">
        <v>0</v>
      </c>
    </row>
    <row r="33" spans="1:17" ht="14.25" thickTop="1" thickBot="1" x14ac:dyDescent="0.25">
      <c r="A33" s="13" t="s">
        <v>57</v>
      </c>
      <c r="C33" s="12">
        <f>C31*C32</f>
        <v>0</v>
      </c>
    </row>
    <row r="34" spans="1:17" ht="14.25" thickTop="1" thickBot="1" x14ac:dyDescent="0.25">
      <c r="A34" s="13" t="s">
        <v>47</v>
      </c>
      <c r="B34" t="s">
        <v>48</v>
      </c>
      <c r="C34" s="168">
        <v>0</v>
      </c>
    </row>
    <row r="35" spans="1:17" ht="13.5" thickTop="1" x14ac:dyDescent="0.2">
      <c r="A35" s="13" t="s">
        <v>27</v>
      </c>
      <c r="C35" s="12">
        <f>SUM(C30,C33:C34)</f>
        <v>166200000</v>
      </c>
    </row>
    <row r="37" spans="1:17" ht="13.5" thickBot="1" x14ac:dyDescent="0.25">
      <c r="A37" s="36" t="s">
        <v>62</v>
      </c>
    </row>
    <row r="38" spans="1:17" ht="14.25" thickTop="1" thickBot="1" x14ac:dyDescent="0.25">
      <c r="A38" s="13" t="s">
        <v>28</v>
      </c>
      <c r="C38" s="170">
        <v>2017</v>
      </c>
    </row>
    <row r="39" spans="1:17" ht="14.25" thickTop="1" thickBot="1" x14ac:dyDescent="0.25">
      <c r="A39" s="14" t="s">
        <v>18</v>
      </c>
      <c r="B39" t="s">
        <v>58</v>
      </c>
      <c r="C39" s="165">
        <v>27</v>
      </c>
    </row>
    <row r="40" spans="1:17" ht="14.25" thickTop="1" thickBot="1" x14ac:dyDescent="0.25">
      <c r="A40" s="13" t="s">
        <v>16</v>
      </c>
      <c r="B40" t="s">
        <v>21</v>
      </c>
      <c r="C40" s="58">
        <f>C38+FLOOR(C39/12,1)</f>
        <v>2019</v>
      </c>
    </row>
    <row r="41" spans="1:17" ht="14.25" thickTop="1" thickBot="1" x14ac:dyDescent="0.25">
      <c r="A41" s="13" t="s">
        <v>17</v>
      </c>
      <c r="B41" t="s">
        <v>22</v>
      </c>
      <c r="C41" s="166">
        <v>0.5</v>
      </c>
    </row>
    <row r="42" spans="1:17" ht="13.5" thickTop="1" x14ac:dyDescent="0.2"/>
    <row r="43" spans="1:17" ht="13.5" thickBot="1" x14ac:dyDescent="0.25">
      <c r="A43" s="36" t="s">
        <v>64</v>
      </c>
      <c r="F43" s="117">
        <f>modelYear1</f>
        <v>2017</v>
      </c>
      <c r="G43" s="117">
        <f>F43+1</f>
        <v>2018</v>
      </c>
      <c r="H43" s="117">
        <f t="shared" ref="H43:O43" si="4">G43+1</f>
        <v>2019</v>
      </c>
      <c r="I43" s="117">
        <f t="shared" si="4"/>
        <v>2020</v>
      </c>
      <c r="J43" s="117">
        <f t="shared" si="4"/>
        <v>2021</v>
      </c>
      <c r="K43" s="117">
        <f t="shared" si="4"/>
        <v>2022</v>
      </c>
      <c r="L43" s="117">
        <f t="shared" si="4"/>
        <v>2023</v>
      </c>
      <c r="M43" s="117">
        <f t="shared" si="4"/>
        <v>2024</v>
      </c>
      <c r="N43" s="117">
        <f t="shared" si="4"/>
        <v>2025</v>
      </c>
      <c r="O43" s="117">
        <f t="shared" si="4"/>
        <v>2026</v>
      </c>
    </row>
    <row r="44" spans="1:17" ht="14.25" thickTop="1" thickBot="1" x14ac:dyDescent="0.25">
      <c r="A44" s="78" t="s">
        <v>135</v>
      </c>
      <c r="E44" s="20" t="s">
        <v>23</v>
      </c>
    </row>
    <row r="45" spans="1:17" ht="16.5" thickTop="1" thickBot="1" x14ac:dyDescent="0.4">
      <c r="A45" s="18" t="s">
        <v>130</v>
      </c>
      <c r="B45" t="s">
        <v>239</v>
      </c>
      <c r="C45" s="171">
        <f>1/0.71</f>
        <v>1.4084507042253522</v>
      </c>
      <c r="E45" s="13" t="str">
        <f>A75</f>
        <v>OSB Board Sales</v>
      </c>
      <c r="F45" s="22">
        <f t="shared" ref="F45:O45" si="5">IF(F$43&lt;OSB_OpYr1,0,IF(F$43=OSB_OpYr1,OSB_OpYr1Pct,1))*(OSB_Output*1000*OSB_RevPerMSF)</f>
        <v>0</v>
      </c>
      <c r="G45" s="22">
        <f t="shared" si="5"/>
        <v>0</v>
      </c>
      <c r="H45" s="22">
        <f t="shared" si="5"/>
        <v>49875000.000000007</v>
      </c>
      <c r="I45" s="22">
        <f t="shared" si="5"/>
        <v>99750000.000000015</v>
      </c>
      <c r="J45" s="22">
        <f t="shared" si="5"/>
        <v>99750000.000000015</v>
      </c>
      <c r="K45" s="22">
        <f t="shared" si="5"/>
        <v>99750000.000000015</v>
      </c>
      <c r="L45" s="22">
        <f t="shared" si="5"/>
        <v>99750000.000000015</v>
      </c>
      <c r="M45" s="22">
        <f t="shared" si="5"/>
        <v>99750000.000000015</v>
      </c>
      <c r="N45" s="22">
        <f t="shared" si="5"/>
        <v>99750000.000000015</v>
      </c>
      <c r="O45" s="22">
        <f t="shared" si="5"/>
        <v>99750000.000000015</v>
      </c>
      <c r="Q45" s="195"/>
    </row>
    <row r="46" spans="1:17" ht="16.5" thickTop="1" thickBot="1" x14ac:dyDescent="0.4">
      <c r="A46" s="16" t="s">
        <v>262</v>
      </c>
      <c r="B46" t="s">
        <v>240</v>
      </c>
      <c r="C46" s="172">
        <v>35</v>
      </c>
      <c r="E46" s="15" t="s">
        <v>96</v>
      </c>
      <c r="F46" s="23">
        <f t="shared" ref="F46:O46" si="6">SUM(F45:F45)</f>
        <v>0</v>
      </c>
      <c r="G46" s="23">
        <f t="shared" si="6"/>
        <v>0</v>
      </c>
      <c r="H46" s="236">
        <f t="shared" si="6"/>
        <v>49875000.000000007</v>
      </c>
      <c r="I46" s="236">
        <f t="shared" si="6"/>
        <v>99750000.000000015</v>
      </c>
      <c r="J46" s="236">
        <f t="shared" si="6"/>
        <v>99750000.000000015</v>
      </c>
      <c r="K46" s="236">
        <f t="shared" si="6"/>
        <v>99750000.000000015</v>
      </c>
      <c r="L46" s="236">
        <f t="shared" si="6"/>
        <v>99750000.000000015</v>
      </c>
      <c r="M46" s="236">
        <f t="shared" si="6"/>
        <v>99750000.000000015</v>
      </c>
      <c r="N46" s="236">
        <f t="shared" si="6"/>
        <v>99750000.000000015</v>
      </c>
      <c r="O46" s="236">
        <f t="shared" si="6"/>
        <v>99750000.000000015</v>
      </c>
      <c r="Q46" s="195"/>
    </row>
    <row r="47" spans="1:17" ht="15.75" thickTop="1" x14ac:dyDescent="0.35">
      <c r="A47" s="16" t="s">
        <v>138</v>
      </c>
      <c r="C47" s="12">
        <f>C23*C45*1000*C46</f>
        <v>23415492.957746483</v>
      </c>
      <c r="E47" s="20" t="s">
        <v>24</v>
      </c>
      <c r="Q47" s="195"/>
    </row>
    <row r="48" spans="1:17" ht="15.75" thickBot="1" x14ac:dyDescent="0.4">
      <c r="A48" s="78" t="s">
        <v>136</v>
      </c>
      <c r="E48" s="9" t="s">
        <v>140</v>
      </c>
      <c r="Q48" s="195"/>
    </row>
    <row r="49" spans="1:19" ht="16.5" thickTop="1" thickBot="1" x14ac:dyDescent="0.4">
      <c r="A49" s="16" t="s">
        <v>155</v>
      </c>
      <c r="B49" t="s">
        <v>241</v>
      </c>
      <c r="C49" s="172">
        <v>31.46</v>
      </c>
      <c r="E49" s="16" t="s">
        <v>135</v>
      </c>
      <c r="F49" s="21">
        <f t="shared" ref="F49:O49" si="7">IF(F$43&lt;OSB_OpYr1,0,IF(F$43=OSB_OpYr1,OSB_OpYr1Pct,1))*OSB_RawMaterialsCost</f>
        <v>0</v>
      </c>
      <c r="G49" s="21">
        <f t="shared" si="7"/>
        <v>0</v>
      </c>
      <c r="H49" s="79">
        <f t="shared" si="7"/>
        <v>11707746.478873242</v>
      </c>
      <c r="I49" s="79">
        <f t="shared" si="7"/>
        <v>23415492.957746483</v>
      </c>
      <c r="J49" s="79">
        <f t="shared" si="7"/>
        <v>23415492.957746483</v>
      </c>
      <c r="K49" s="79">
        <f t="shared" si="7"/>
        <v>23415492.957746483</v>
      </c>
      <c r="L49" s="79">
        <f t="shared" si="7"/>
        <v>23415492.957746483</v>
      </c>
      <c r="M49" s="79">
        <f t="shared" si="7"/>
        <v>23415492.957746483</v>
      </c>
      <c r="N49" s="79">
        <f t="shared" si="7"/>
        <v>23415492.957746483</v>
      </c>
      <c r="O49" s="79">
        <f t="shared" si="7"/>
        <v>23415492.957746483</v>
      </c>
      <c r="Q49" s="195"/>
    </row>
    <row r="50" spans="1:19" ht="16.5" thickTop="1" thickBot="1" x14ac:dyDescent="0.4">
      <c r="A50" s="16" t="s">
        <v>156</v>
      </c>
      <c r="B50" t="s">
        <v>241</v>
      </c>
      <c r="C50" s="172">
        <v>7.43</v>
      </c>
      <c r="E50" s="16" t="s">
        <v>136</v>
      </c>
      <c r="F50" s="21">
        <f t="shared" ref="F50:O50" si="8">IF(F$43&lt;OSB_OpYr1,0,IF(F$43=OSB_OpYr1,OSB_OpYr1Pct,1))*OSB_AnnualCOGS</f>
        <v>0</v>
      </c>
      <c r="G50" s="21">
        <f t="shared" si="8"/>
        <v>0</v>
      </c>
      <c r="H50" s="79">
        <f t="shared" si="8"/>
        <v>9236375.0000000019</v>
      </c>
      <c r="I50" s="79">
        <f t="shared" si="8"/>
        <v>18472750.000000004</v>
      </c>
      <c r="J50" s="79">
        <f t="shared" si="8"/>
        <v>18472750.000000004</v>
      </c>
      <c r="K50" s="79">
        <f t="shared" si="8"/>
        <v>18472750.000000004</v>
      </c>
      <c r="L50" s="79">
        <f t="shared" si="8"/>
        <v>18472750.000000004</v>
      </c>
      <c r="M50" s="79">
        <f t="shared" si="8"/>
        <v>18472750.000000004</v>
      </c>
      <c r="N50" s="79">
        <f t="shared" si="8"/>
        <v>18472750.000000004</v>
      </c>
      <c r="O50" s="79">
        <f t="shared" si="8"/>
        <v>18472750.000000004</v>
      </c>
      <c r="Q50" s="195"/>
      <c r="S50" s="23"/>
    </row>
    <row r="51" spans="1:19" ht="15.75" thickTop="1" x14ac:dyDescent="0.35">
      <c r="A51" s="16" t="s">
        <v>137</v>
      </c>
      <c r="C51" s="135">
        <f>SUM(C49:C50)</f>
        <v>38.89</v>
      </c>
      <c r="E51" s="16" t="s">
        <v>141</v>
      </c>
      <c r="F51" s="21">
        <f>IF(F$43&lt;OSB_OpYr1,0,IF(F$43=OSB_OpYr1,OSB_OpYr1Pct,1))*OSB_AnnualHourlyLabor</f>
        <v>0</v>
      </c>
      <c r="G51" s="21">
        <f t="shared" ref="G51:O51" si="9">IF(G$43&lt;OSB_OpYr1,0,IF(G$43=OSB_OpYr1,OSB_OpYr1Pct,1))*OSB_AnnualHourlyLabor</f>
        <v>0</v>
      </c>
      <c r="H51" s="79">
        <f t="shared" si="9"/>
        <v>5972450.7738692835</v>
      </c>
      <c r="I51" s="79">
        <f t="shared" si="9"/>
        <v>11944901.547738567</v>
      </c>
      <c r="J51" s="79">
        <f t="shared" si="9"/>
        <v>11944901.547738567</v>
      </c>
      <c r="K51" s="79">
        <f t="shared" si="9"/>
        <v>11944901.547738567</v>
      </c>
      <c r="L51" s="79">
        <f t="shared" si="9"/>
        <v>11944901.547738567</v>
      </c>
      <c r="M51" s="79">
        <f t="shared" si="9"/>
        <v>11944901.547738567</v>
      </c>
      <c r="N51" s="79">
        <f t="shared" si="9"/>
        <v>11944901.547738567</v>
      </c>
      <c r="O51" s="79">
        <f t="shared" si="9"/>
        <v>11944901.547738567</v>
      </c>
      <c r="Q51" s="195"/>
    </row>
    <row r="52" spans="1:19" ht="15" x14ac:dyDescent="0.35">
      <c r="A52" s="16" t="s">
        <v>139</v>
      </c>
      <c r="C52" s="12">
        <f>C23*1000*C51</f>
        <v>18472750.000000004</v>
      </c>
      <c r="E52" s="16" t="s">
        <v>157</v>
      </c>
      <c r="F52" s="21">
        <f t="shared" ref="F52:O52" si="10">IF(F$43&lt;OSB_OpYr1,0,IF(F$43=OSB_OpYr1,OSB_OpYr1Pct,1))*OSB_SuppliesPerMSF*OSB_Output*1000</f>
        <v>0</v>
      </c>
      <c r="G52" s="21">
        <f t="shared" si="10"/>
        <v>0</v>
      </c>
      <c r="H52" s="79">
        <f t="shared" si="10"/>
        <v>3676500.0000000005</v>
      </c>
      <c r="I52" s="79">
        <f t="shared" si="10"/>
        <v>7353000.0000000009</v>
      </c>
      <c r="J52" s="79">
        <f t="shared" si="10"/>
        <v>7353000.0000000009</v>
      </c>
      <c r="K52" s="79">
        <f t="shared" si="10"/>
        <v>7353000.0000000009</v>
      </c>
      <c r="L52" s="79">
        <f t="shared" si="10"/>
        <v>7353000.0000000009</v>
      </c>
      <c r="M52" s="79">
        <f t="shared" si="10"/>
        <v>7353000.0000000009</v>
      </c>
      <c r="N52" s="79">
        <f t="shared" si="10"/>
        <v>7353000.0000000009</v>
      </c>
      <c r="O52" s="79">
        <f t="shared" si="10"/>
        <v>7353000.0000000009</v>
      </c>
      <c r="Q52" s="195"/>
    </row>
    <row r="53" spans="1:19" ht="15" x14ac:dyDescent="0.35">
      <c r="A53" s="16"/>
      <c r="E53" s="16" t="s">
        <v>110</v>
      </c>
      <c r="F53" s="79">
        <f t="shared" ref="F53:O53" si="11">IF(F$43&lt;OSB_OpYr1,0,IF(F$43=OSB_OpYr1,OSB_OpYr1Pct,1))*OSB_UtilitiesPerMSF*OSB_Output*1000</f>
        <v>0</v>
      </c>
      <c r="G53" s="79">
        <f t="shared" si="11"/>
        <v>0</v>
      </c>
      <c r="H53" s="79">
        <f t="shared" si="11"/>
        <v>3467500.0000000005</v>
      </c>
      <c r="I53" s="79">
        <f t="shared" si="11"/>
        <v>6935000.0000000009</v>
      </c>
      <c r="J53" s="79">
        <f t="shared" si="11"/>
        <v>6935000.0000000009</v>
      </c>
      <c r="K53" s="79">
        <f t="shared" si="11"/>
        <v>6935000.0000000009</v>
      </c>
      <c r="L53" s="79">
        <f t="shared" si="11"/>
        <v>6935000.0000000009</v>
      </c>
      <c r="M53" s="79">
        <f t="shared" si="11"/>
        <v>6935000.0000000009</v>
      </c>
      <c r="N53" s="79">
        <f t="shared" si="11"/>
        <v>6935000.0000000009</v>
      </c>
      <c r="O53" s="79">
        <f t="shared" si="11"/>
        <v>6935000.0000000009</v>
      </c>
      <c r="Q53" s="195"/>
    </row>
    <row r="54" spans="1:19" ht="15.75" thickBot="1" x14ac:dyDescent="0.4">
      <c r="A54" s="78" t="s">
        <v>65</v>
      </c>
      <c r="E54" s="16" t="s">
        <v>162</v>
      </c>
      <c r="F54" s="79">
        <f t="shared" ref="F54:O54" si="12">IF(F$43&lt;OSB_OpYr1,0,IF(F$43=OSB_OpYr1,OSB_OpYr1Pct,1))*OSB_ContSvcesPerMSF*OSB_Output*1000</f>
        <v>0</v>
      </c>
      <c r="G54" s="79">
        <f t="shared" si="12"/>
        <v>0</v>
      </c>
      <c r="H54" s="79">
        <f t="shared" si="12"/>
        <v>1159000</v>
      </c>
      <c r="I54" s="79">
        <f t="shared" si="12"/>
        <v>2318000</v>
      </c>
      <c r="J54" s="79">
        <f t="shared" si="12"/>
        <v>2318000</v>
      </c>
      <c r="K54" s="79">
        <f t="shared" si="12"/>
        <v>2318000</v>
      </c>
      <c r="L54" s="79">
        <f t="shared" si="12"/>
        <v>2318000</v>
      </c>
      <c r="M54" s="79">
        <f t="shared" si="12"/>
        <v>2318000</v>
      </c>
      <c r="N54" s="79">
        <f t="shared" si="12"/>
        <v>2318000</v>
      </c>
      <c r="O54" s="79">
        <f t="shared" si="12"/>
        <v>2318000</v>
      </c>
      <c r="Q54" s="195"/>
    </row>
    <row r="55" spans="1:19" ht="16.5" thickTop="1" thickBot="1" x14ac:dyDescent="0.4">
      <c r="A55" s="68" t="s">
        <v>112</v>
      </c>
      <c r="B55" t="s">
        <v>77</v>
      </c>
      <c r="C55" s="169">
        <v>25.2</v>
      </c>
      <c r="E55" s="16" t="s">
        <v>67</v>
      </c>
      <c r="F55" s="22">
        <f t="shared" ref="F55:O55" si="13">IF(F$43&lt;OSB_OpYr1,0,IF(F$43=OSB_OpYr1,OSB_OpYr1Pct,1))*OSB_OtherPerMSF*OSB_Output*1000</f>
        <v>0</v>
      </c>
      <c r="G55" s="22">
        <f t="shared" si="13"/>
        <v>0</v>
      </c>
      <c r="H55" s="22">
        <f>IF(H$43&lt;OSB_OpYr1,0,IF(H$43=OSB_OpYr1,OSB_OpYr1Pct,1))*OSB_OtherPerMSF*OSB_Output*1000</f>
        <v>1736125.0000000002</v>
      </c>
      <c r="I55" s="22">
        <f>IF(I$43&lt;OSB_OpYr1,0,IF(I$43=OSB_OpYr1,OSB_OpYr1Pct,1))*OSB_OtherPerMSF*OSB_Output*1000</f>
        <v>3472250.0000000005</v>
      </c>
      <c r="J55" s="22">
        <f t="shared" si="13"/>
        <v>3472250.0000000005</v>
      </c>
      <c r="K55" s="22">
        <f t="shared" si="13"/>
        <v>3472250.0000000005</v>
      </c>
      <c r="L55" s="22">
        <f t="shared" si="13"/>
        <v>3472250.0000000005</v>
      </c>
      <c r="M55" s="22">
        <f t="shared" si="13"/>
        <v>3472250.0000000005</v>
      </c>
      <c r="N55" s="22">
        <f t="shared" si="13"/>
        <v>3472250.0000000005</v>
      </c>
      <c r="O55" s="22">
        <f t="shared" si="13"/>
        <v>3472250.0000000005</v>
      </c>
      <c r="Q55" s="195"/>
    </row>
    <row r="56" spans="1:19" ht="16.5" thickTop="1" thickBot="1" x14ac:dyDescent="0.4">
      <c r="A56" s="68" t="s">
        <v>263</v>
      </c>
      <c r="B56" t="s">
        <v>264</v>
      </c>
      <c r="C56" s="172">
        <v>4.84</v>
      </c>
      <c r="E56" s="67" t="s">
        <v>143</v>
      </c>
      <c r="F56" s="70">
        <f t="shared" ref="F56:O56" si="14">SUM(F49:F55)</f>
        <v>0</v>
      </c>
      <c r="G56" s="70">
        <f t="shared" si="14"/>
        <v>0</v>
      </c>
      <c r="H56" s="236">
        <f t="shared" si="14"/>
        <v>36955697.252742529</v>
      </c>
      <c r="I56" s="236">
        <f t="shared" si="14"/>
        <v>73911394.505485058</v>
      </c>
      <c r="J56" s="236">
        <f t="shared" si="14"/>
        <v>73911394.505485058</v>
      </c>
      <c r="K56" s="236">
        <f t="shared" si="14"/>
        <v>73911394.505485058</v>
      </c>
      <c r="L56" s="236">
        <f t="shared" si="14"/>
        <v>73911394.505485058</v>
      </c>
      <c r="M56" s="236">
        <f t="shared" si="14"/>
        <v>73911394.505485058</v>
      </c>
      <c r="N56" s="236">
        <f t="shared" si="14"/>
        <v>73911394.505485058</v>
      </c>
      <c r="O56" s="236">
        <f t="shared" si="14"/>
        <v>73911394.505485058</v>
      </c>
      <c r="Q56" s="195"/>
    </row>
    <row r="57" spans="1:19" ht="16.5" thickTop="1" thickBot="1" x14ac:dyDescent="0.4">
      <c r="A57" s="16" t="s">
        <v>78</v>
      </c>
      <c r="B57" t="s">
        <v>204</v>
      </c>
      <c r="C57" s="168">
        <v>90000</v>
      </c>
      <c r="E57" s="71" t="s">
        <v>144</v>
      </c>
      <c r="Q57" s="195"/>
    </row>
    <row r="58" spans="1:19" ht="16.5" thickTop="1" thickBot="1" x14ac:dyDescent="0.4">
      <c r="A58" s="16" t="s">
        <v>116</v>
      </c>
      <c r="C58" s="12">
        <f>C55*C57</f>
        <v>2268000</v>
      </c>
      <c r="E58" s="16" t="s">
        <v>145</v>
      </c>
      <c r="F58" s="21">
        <f t="shared" ref="F58:O58" si="15">IF(F$43&lt;OSB_OpYr1,0,IF(F$43=OSB_OpYr1,OSB_OpYr1Pct,1))*OSB_AnnualSalaries</f>
        <v>0</v>
      </c>
      <c r="G58" s="21">
        <f t="shared" si="15"/>
        <v>0</v>
      </c>
      <c r="H58" s="79">
        <f t="shared" si="15"/>
        <v>1134000</v>
      </c>
      <c r="I58" s="79">
        <f t="shared" si="15"/>
        <v>2268000</v>
      </c>
      <c r="J58" s="79">
        <f t="shared" si="15"/>
        <v>2268000</v>
      </c>
      <c r="K58" s="79">
        <f t="shared" si="15"/>
        <v>2268000</v>
      </c>
      <c r="L58" s="79">
        <f t="shared" si="15"/>
        <v>2268000</v>
      </c>
      <c r="M58" s="79">
        <f t="shared" si="15"/>
        <v>2268000</v>
      </c>
      <c r="N58" s="79">
        <f t="shared" si="15"/>
        <v>2268000</v>
      </c>
      <c r="O58" s="79">
        <f t="shared" si="15"/>
        <v>2268000</v>
      </c>
      <c r="Q58" s="195"/>
    </row>
    <row r="59" spans="1:19" ht="16.5" thickTop="1" thickBot="1" x14ac:dyDescent="0.4">
      <c r="A59" s="68" t="s">
        <v>113</v>
      </c>
      <c r="B59" t="s">
        <v>121</v>
      </c>
      <c r="C59" s="165">
        <v>118</v>
      </c>
      <c r="E59" s="16" t="s">
        <v>146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Q59" s="195"/>
    </row>
    <row r="60" spans="1:19" ht="16.5" thickTop="1" thickBot="1" x14ac:dyDescent="0.4">
      <c r="A60" s="16" t="s">
        <v>114</v>
      </c>
      <c r="B60" t="s">
        <v>115</v>
      </c>
      <c r="C60" s="172">
        <v>24.59</v>
      </c>
      <c r="E60" s="67" t="s">
        <v>147</v>
      </c>
      <c r="F60" s="23">
        <f>SUM(F58:F59)</f>
        <v>0</v>
      </c>
      <c r="G60" s="23">
        <f t="shared" ref="G60:O60" si="16">SUM(G58:G59)</f>
        <v>0</v>
      </c>
      <c r="H60" s="236">
        <f t="shared" si="16"/>
        <v>1134000</v>
      </c>
      <c r="I60" s="236">
        <f t="shared" si="16"/>
        <v>2268000</v>
      </c>
      <c r="J60" s="236">
        <f t="shared" si="16"/>
        <v>2268000</v>
      </c>
      <c r="K60" s="236">
        <f t="shared" si="16"/>
        <v>2268000</v>
      </c>
      <c r="L60" s="236">
        <f t="shared" si="16"/>
        <v>2268000</v>
      </c>
      <c r="M60" s="236">
        <f t="shared" si="16"/>
        <v>2268000</v>
      </c>
      <c r="N60" s="236">
        <f t="shared" si="16"/>
        <v>2268000</v>
      </c>
      <c r="O60" s="236">
        <f t="shared" si="16"/>
        <v>2268000</v>
      </c>
      <c r="Q60" s="195"/>
    </row>
    <row r="61" spans="1:19" ht="16.5" thickTop="1" thickBot="1" x14ac:dyDescent="0.4">
      <c r="A61" s="16" t="s">
        <v>79</v>
      </c>
      <c r="B61" t="s">
        <v>158</v>
      </c>
      <c r="C61" s="167">
        <v>0.39500000000000002</v>
      </c>
      <c r="E61" s="15" t="s">
        <v>25</v>
      </c>
      <c r="F61" s="60">
        <f>F56+F60</f>
        <v>0</v>
      </c>
      <c r="G61" s="60">
        <f t="shared" ref="G61:O61" si="17">G56+G60</f>
        <v>0</v>
      </c>
      <c r="H61" s="60">
        <f t="shared" si="17"/>
        <v>38089697.252742529</v>
      </c>
      <c r="I61" s="60">
        <f t="shared" si="17"/>
        <v>76179394.505485058</v>
      </c>
      <c r="J61" s="60">
        <f t="shared" si="17"/>
        <v>76179394.505485058</v>
      </c>
      <c r="K61" s="60">
        <f t="shared" si="17"/>
        <v>76179394.505485058</v>
      </c>
      <c r="L61" s="60">
        <f t="shared" si="17"/>
        <v>76179394.505485058</v>
      </c>
      <c r="M61" s="60">
        <f t="shared" si="17"/>
        <v>76179394.505485058</v>
      </c>
      <c r="N61" s="60">
        <f t="shared" si="17"/>
        <v>76179394.505485058</v>
      </c>
      <c r="O61" s="60">
        <f t="shared" si="17"/>
        <v>76179394.505485058</v>
      </c>
      <c r="Q61" s="195"/>
    </row>
    <row r="62" spans="1:19" ht="16.5" thickTop="1" thickBot="1" x14ac:dyDescent="0.4">
      <c r="A62" s="16" t="s">
        <v>159</v>
      </c>
      <c r="B62" t="s">
        <v>160</v>
      </c>
      <c r="C62" s="165">
        <v>1894.2942463411318</v>
      </c>
      <c r="E62" s="118" t="s">
        <v>26</v>
      </c>
      <c r="F62" s="119">
        <f t="shared" ref="F62:O62" si="18">F46-F61</f>
        <v>0</v>
      </c>
      <c r="G62" s="119">
        <f t="shared" si="18"/>
        <v>0</v>
      </c>
      <c r="H62" s="248">
        <f t="shared" si="18"/>
        <v>11785302.747257479</v>
      </c>
      <c r="I62" s="248">
        <f t="shared" si="18"/>
        <v>23570605.494514957</v>
      </c>
      <c r="J62" s="248">
        <f t="shared" si="18"/>
        <v>23570605.494514957</v>
      </c>
      <c r="K62" s="248">
        <f t="shared" si="18"/>
        <v>23570605.494514957</v>
      </c>
      <c r="L62" s="248">
        <f t="shared" si="18"/>
        <v>23570605.494514957</v>
      </c>
      <c r="M62" s="248">
        <f t="shared" si="18"/>
        <v>23570605.494514957</v>
      </c>
      <c r="N62" s="248">
        <f t="shared" si="18"/>
        <v>23570605.494514957</v>
      </c>
      <c r="O62" s="248">
        <f t="shared" si="18"/>
        <v>23570605.494514957</v>
      </c>
      <c r="Q62" s="195"/>
    </row>
    <row r="63" spans="1:19" ht="14.25" thickTop="1" thickBot="1" x14ac:dyDescent="0.25">
      <c r="A63" s="16" t="s">
        <v>117</v>
      </c>
      <c r="B63" t="s">
        <v>118</v>
      </c>
      <c r="C63" s="167">
        <v>0.17199999999999999</v>
      </c>
      <c r="E63" s="61"/>
      <c r="F63" s="62"/>
      <c r="G63" s="62"/>
      <c r="H63" s="238"/>
      <c r="I63" s="238"/>
      <c r="J63" s="238"/>
      <c r="K63" s="238"/>
      <c r="L63" s="238"/>
      <c r="M63" s="238"/>
      <c r="N63" s="238"/>
      <c r="O63" s="238"/>
    </row>
    <row r="64" spans="1:19" ht="14.25" thickTop="1" thickBot="1" x14ac:dyDescent="0.25">
      <c r="A64" s="16" t="s">
        <v>119</v>
      </c>
      <c r="B64" t="s">
        <v>120</v>
      </c>
      <c r="C64" s="169">
        <v>1.5</v>
      </c>
    </row>
    <row r="65" spans="1:17" ht="13.5" thickTop="1" x14ac:dyDescent="0.2">
      <c r="A65" s="16" t="s">
        <v>122</v>
      </c>
      <c r="C65" s="12">
        <f>C59*(C60*(1+C61))*(C62*(1+C63*C64))+((C56*(OSB_Output*1000)))</f>
        <v>11944901.547738567</v>
      </c>
      <c r="E65" s="120" t="s">
        <v>15</v>
      </c>
    </row>
    <row r="66" spans="1:17" x14ac:dyDescent="0.2">
      <c r="A66" s="16" t="s">
        <v>89</v>
      </c>
      <c r="C66" s="12">
        <f>(C58+C65)</f>
        <v>14212901.547738567</v>
      </c>
      <c r="E66" s="13" t="s">
        <v>29</v>
      </c>
      <c r="F66">
        <f t="shared" ref="F66:O66" si="19">IF(AND(F$43&gt;=OSB_ConstYr1,F$43&lt;=OSB_ConstYr1+OSB_ConstMonth/12),MIN(12,MAX(0,OSB_ConstMonth-(F$43-OSB_ConstYr1)*12)),0)</f>
        <v>12</v>
      </c>
      <c r="G66">
        <f t="shared" si="19"/>
        <v>12</v>
      </c>
      <c r="H66" s="230">
        <f t="shared" si="19"/>
        <v>3</v>
      </c>
      <c r="I66" s="230">
        <f t="shared" si="19"/>
        <v>0</v>
      </c>
      <c r="J66" s="230">
        <f t="shared" si="19"/>
        <v>0</v>
      </c>
      <c r="K66" s="230">
        <f t="shared" si="19"/>
        <v>0</v>
      </c>
      <c r="L66" s="230">
        <f t="shared" si="19"/>
        <v>0</v>
      </c>
      <c r="M66" s="230">
        <f t="shared" si="19"/>
        <v>0</v>
      </c>
      <c r="N66" s="230">
        <f t="shared" si="19"/>
        <v>0</v>
      </c>
      <c r="O66" s="230">
        <f t="shared" si="19"/>
        <v>0</v>
      </c>
    </row>
    <row r="67" spans="1:17" ht="13.5" thickBot="1" x14ac:dyDescent="0.25">
      <c r="A67" s="78" t="s">
        <v>67</v>
      </c>
      <c r="E67" s="13" t="s">
        <v>30</v>
      </c>
      <c r="F67" s="23">
        <f t="shared" ref="F67:O67" si="20">OSB_CapX*F66/OSB_ConstMonth</f>
        <v>73866666.666666672</v>
      </c>
      <c r="G67" s="23">
        <f t="shared" si="20"/>
        <v>73866666.666666672</v>
      </c>
      <c r="H67" s="236">
        <f t="shared" si="20"/>
        <v>18466666.666666668</v>
      </c>
      <c r="I67" s="236">
        <f t="shared" si="20"/>
        <v>0</v>
      </c>
      <c r="J67" s="236">
        <f t="shared" si="20"/>
        <v>0</v>
      </c>
      <c r="K67" s="236">
        <f t="shared" si="20"/>
        <v>0</v>
      </c>
      <c r="L67" s="236">
        <f t="shared" si="20"/>
        <v>0</v>
      </c>
      <c r="M67" s="236">
        <f t="shared" si="20"/>
        <v>0</v>
      </c>
      <c r="N67" s="236">
        <f t="shared" si="20"/>
        <v>0</v>
      </c>
      <c r="O67" s="236">
        <f t="shared" si="20"/>
        <v>0</v>
      </c>
    </row>
    <row r="68" spans="1:17" ht="14.25" thickTop="1" thickBot="1" x14ac:dyDescent="0.25">
      <c r="A68" s="16" t="s">
        <v>157</v>
      </c>
      <c r="B68" t="s">
        <v>161</v>
      </c>
      <c r="C68" s="172">
        <f>15.48</f>
        <v>15.48</v>
      </c>
    </row>
    <row r="69" spans="1:17" ht="14.25" thickTop="1" thickBot="1" x14ac:dyDescent="0.25">
      <c r="A69" s="18" t="s">
        <v>110</v>
      </c>
      <c r="B69" t="s">
        <v>161</v>
      </c>
      <c r="C69" s="172">
        <f>14.6</f>
        <v>14.6</v>
      </c>
      <c r="E69" s="120" t="s">
        <v>31</v>
      </c>
    </row>
    <row r="70" spans="1:17" ht="14.25" thickTop="1" thickBot="1" x14ac:dyDescent="0.25">
      <c r="A70" s="16" t="s">
        <v>162</v>
      </c>
      <c r="B70" t="s">
        <v>161</v>
      </c>
      <c r="C70" s="172">
        <f>4.88</f>
        <v>4.88</v>
      </c>
      <c r="E70" s="13" t="s">
        <v>32</v>
      </c>
      <c r="F70" s="23">
        <f t="shared" ref="F70:O70" si="21">F62-F67</f>
        <v>-73866666.666666672</v>
      </c>
      <c r="G70" s="23">
        <f t="shared" si="21"/>
        <v>-73866666.666666672</v>
      </c>
      <c r="H70" s="236">
        <f t="shared" si="21"/>
        <v>-6681363.9194091894</v>
      </c>
      <c r="I70" s="236">
        <f t="shared" si="21"/>
        <v>23570605.494514957</v>
      </c>
      <c r="J70" s="236">
        <f t="shared" si="21"/>
        <v>23570605.494514957</v>
      </c>
      <c r="K70" s="236">
        <f t="shared" si="21"/>
        <v>23570605.494514957</v>
      </c>
      <c r="L70" s="236">
        <f t="shared" si="21"/>
        <v>23570605.494514957</v>
      </c>
      <c r="M70" s="236">
        <f t="shared" si="21"/>
        <v>23570605.494514957</v>
      </c>
      <c r="N70" s="236">
        <f t="shared" si="21"/>
        <v>23570605.494514957</v>
      </c>
      <c r="O70" s="236">
        <f t="shared" si="21"/>
        <v>23570605.494514957</v>
      </c>
      <c r="Q70" s="23"/>
    </row>
    <row r="71" spans="1:17" ht="14.25" thickTop="1" thickBot="1" x14ac:dyDescent="0.25">
      <c r="A71" s="16" t="s">
        <v>67</v>
      </c>
      <c r="B71" t="s">
        <v>161</v>
      </c>
      <c r="C71" s="172">
        <f>7.31</f>
        <v>7.31</v>
      </c>
      <c r="E71" s="13" t="s">
        <v>33</v>
      </c>
      <c r="F71" s="23">
        <f>F70</f>
        <v>-73866666.666666672</v>
      </c>
      <c r="G71" s="23">
        <f>F71+G70</f>
        <v>-147733333.33333334</v>
      </c>
      <c r="H71" s="236">
        <f t="shared" ref="H71:O71" si="22">G71+H70</f>
        <v>-154414697.25274253</v>
      </c>
      <c r="I71" s="236">
        <f t="shared" si="22"/>
        <v>-130844091.75822757</v>
      </c>
      <c r="J71" s="236">
        <f t="shared" si="22"/>
        <v>-107273486.26371261</v>
      </c>
      <c r="K71" s="236">
        <f t="shared" si="22"/>
        <v>-83702880.769197658</v>
      </c>
      <c r="L71" s="236">
        <f t="shared" si="22"/>
        <v>-60132275.274682701</v>
      </c>
      <c r="M71" s="236">
        <f t="shared" si="22"/>
        <v>-36561669.780167744</v>
      </c>
      <c r="N71" s="236">
        <f t="shared" si="22"/>
        <v>-12991064.285652786</v>
      </c>
      <c r="O71" s="236">
        <f t="shared" si="22"/>
        <v>10579541.208862171</v>
      </c>
    </row>
    <row r="72" spans="1:17" ht="13.5" thickTop="1" x14ac:dyDescent="0.2">
      <c r="A72" s="16" t="s">
        <v>128</v>
      </c>
      <c r="B72" t="s">
        <v>161</v>
      </c>
      <c r="C72" s="135">
        <f>SUM(C68:C71)</f>
        <v>42.27</v>
      </c>
    </row>
    <row r="73" spans="1:17" x14ac:dyDescent="0.2">
      <c r="A73" s="16"/>
      <c r="E73" s="36" t="s">
        <v>169</v>
      </c>
      <c r="O73" s="239"/>
    </row>
    <row r="74" spans="1:17" ht="13.5" thickBot="1" x14ac:dyDescent="0.25">
      <c r="A74" s="41" t="s">
        <v>23</v>
      </c>
      <c r="E74" t="s">
        <v>170</v>
      </c>
      <c r="F74" s="200">
        <f>IF(OSB_OCF&lt;0,"n/a",MATCH(0,$F$71:$O$71,1)+FLOOR(IF(O71&lt;0,(-1)*O71/O70,0),1))</f>
        <v>9</v>
      </c>
    </row>
    <row r="75" spans="1:17" ht="14.25" thickTop="1" thickBot="1" x14ac:dyDescent="0.25">
      <c r="A75" s="13" t="s">
        <v>163</v>
      </c>
      <c r="B75" t="s">
        <v>161</v>
      </c>
      <c r="C75" s="172">
        <f>210</f>
        <v>210</v>
      </c>
      <c r="E75" t="s">
        <v>171</v>
      </c>
      <c r="F75">
        <f ca="1">IF(OSB_OCF&lt;0,"n/a",CEILING(12*IF(O71&gt;0,OFFSET(F71,0,F74-1)/(OFFSET(F71,0,F74-1)-OFFSET(F71,0,F74)),((-O71/O70)-FLOOR(-O71/O70,1))),1))</f>
        <v>7</v>
      </c>
      <c r="G75" s="23"/>
    </row>
    <row r="76" spans="1:17" ht="13.5" thickTop="1" x14ac:dyDescent="0.2">
      <c r="E76" t="s">
        <v>172</v>
      </c>
      <c r="F76">
        <f ca="1">IF(OSB_OCF&lt;0,"n/a",IF(OSB_OpYr1&gt;MAX(modelYears),"n/a",12*F74+F75))</f>
        <v>115</v>
      </c>
    </row>
    <row r="77" spans="1:17" x14ac:dyDescent="0.2">
      <c r="E77" t="s">
        <v>173</v>
      </c>
      <c r="F77">
        <f>IF(OSB_OCF&lt;0,"n/a",IF(OSB_OpYr1&gt;MAX(modelYears),"n/a",F43+F74))</f>
        <v>2026</v>
      </c>
    </row>
    <row r="78" spans="1:17" x14ac:dyDescent="0.2">
      <c r="O78" s="249"/>
    </row>
    <row r="79" spans="1:17" x14ac:dyDescent="0.2">
      <c r="E79" t="s">
        <v>255</v>
      </c>
      <c r="F79" s="137">
        <f>NPV(HurdleRate,F70:O70,OSB_OCF*TVmult)</f>
        <v>35609939.599201262</v>
      </c>
    </row>
    <row r="80" spans="1:17" x14ac:dyDescent="0.2">
      <c r="E80" t="s">
        <v>254</v>
      </c>
      <c r="F80" s="138">
        <f>OSB_OCF/OSB_CapX</f>
        <v>0.14182073101392875</v>
      </c>
    </row>
    <row r="84" spans="2:13" x14ac:dyDescent="0.2">
      <c r="D84" s="193"/>
      <c r="E84" s="193"/>
      <c r="F84" s="193"/>
      <c r="G84" s="193"/>
    </row>
    <row r="85" spans="2:13" x14ac:dyDescent="0.2">
      <c r="B85" s="193"/>
      <c r="C85" s="193"/>
      <c r="D85" s="193"/>
      <c r="E85" s="193"/>
      <c r="F85" s="193"/>
      <c r="G85" s="193"/>
      <c r="L85" s="230" t="s">
        <v>275</v>
      </c>
      <c r="M85" s="230" t="s">
        <v>268</v>
      </c>
    </row>
    <row r="86" spans="2:13" x14ac:dyDescent="0.2">
      <c r="B86" s="193"/>
      <c r="C86" s="193"/>
      <c r="D86" s="193"/>
      <c r="E86" s="196"/>
      <c r="F86" s="193"/>
      <c r="G86" s="197"/>
      <c r="K86" s="230" t="s">
        <v>265</v>
      </c>
      <c r="L86" s="248">
        <v>23570605</v>
      </c>
      <c r="M86" s="250">
        <v>9.5833333333333339</v>
      </c>
    </row>
    <row r="87" spans="2:13" x14ac:dyDescent="0.2">
      <c r="B87" s="193"/>
      <c r="C87" s="193"/>
      <c r="D87" s="193"/>
      <c r="E87" s="196"/>
      <c r="F87" s="193"/>
      <c r="G87" s="197"/>
      <c r="K87" s="230" t="s">
        <v>266</v>
      </c>
      <c r="L87" s="248">
        <v>33545605.494514972</v>
      </c>
      <c r="M87" s="250">
        <v>7.5</v>
      </c>
    </row>
    <row r="88" spans="2:13" x14ac:dyDescent="0.2">
      <c r="B88" s="193"/>
      <c r="C88" s="194"/>
      <c r="D88" s="193"/>
      <c r="E88" s="196"/>
      <c r="F88" s="193"/>
      <c r="G88" s="197"/>
      <c r="K88" s="230" t="s">
        <v>267</v>
      </c>
      <c r="L88" s="248">
        <v>13595605.494514957</v>
      </c>
      <c r="M88" s="250">
        <v>14.75</v>
      </c>
    </row>
    <row r="89" spans="2:13" x14ac:dyDescent="0.2">
      <c r="B89" s="193"/>
      <c r="C89" s="194"/>
      <c r="D89" s="193"/>
      <c r="E89" s="198"/>
      <c r="F89" s="193"/>
      <c r="G89" s="199"/>
      <c r="K89" s="230" t="s">
        <v>270</v>
      </c>
      <c r="L89" s="248">
        <v>19734706.198740304</v>
      </c>
      <c r="M89" s="250">
        <v>11</v>
      </c>
    </row>
    <row r="90" spans="2:13" x14ac:dyDescent="0.2">
      <c r="B90" s="194"/>
      <c r="C90" s="193"/>
      <c r="D90" s="193"/>
      <c r="E90" s="198"/>
      <c r="F90" s="193"/>
      <c r="G90" s="197"/>
      <c r="K90" s="230" t="s">
        <v>269</v>
      </c>
      <c r="L90" s="248">
        <v>27406504.790289611</v>
      </c>
      <c r="M90" s="250">
        <v>8.5833333333333339</v>
      </c>
    </row>
    <row r="91" spans="2:13" x14ac:dyDescent="0.2">
      <c r="B91" s="193"/>
      <c r="C91" s="194"/>
      <c r="D91" s="193"/>
      <c r="E91" s="198"/>
      <c r="F91" s="193"/>
      <c r="G91" s="197"/>
      <c r="K91" s="230" t="s">
        <v>272</v>
      </c>
      <c r="L91" s="248">
        <v>21106080.494514957</v>
      </c>
      <c r="M91" s="250">
        <v>10.416666666666666</v>
      </c>
    </row>
    <row r="92" spans="2:13" x14ac:dyDescent="0.2">
      <c r="B92" s="193"/>
      <c r="C92" s="194"/>
      <c r="D92" s="193"/>
      <c r="E92" s="196"/>
      <c r="F92" s="193"/>
      <c r="G92" s="197"/>
      <c r="K92" s="230" t="s">
        <v>271</v>
      </c>
      <c r="L92" s="248">
        <v>26035130.494514957</v>
      </c>
      <c r="M92" s="250">
        <v>8.9166666666666661</v>
      </c>
    </row>
    <row r="93" spans="2:13" x14ac:dyDescent="0.2">
      <c r="B93" s="193"/>
      <c r="C93" s="194"/>
      <c r="D93" s="193"/>
      <c r="E93" s="196"/>
      <c r="F93" s="193"/>
      <c r="G93" s="197"/>
      <c r="K93" s="230" t="s">
        <v>273</v>
      </c>
      <c r="L93" s="248">
        <v>23570605.494514957</v>
      </c>
      <c r="M93" s="250">
        <v>10.333333333333334</v>
      </c>
    </row>
    <row r="94" spans="2:13" x14ac:dyDescent="0.2">
      <c r="B94" s="193"/>
      <c r="C94" s="194"/>
      <c r="D94" s="193"/>
      <c r="E94" s="196"/>
      <c r="F94" s="193"/>
      <c r="G94" s="197"/>
      <c r="K94" s="230" t="s">
        <v>274</v>
      </c>
      <c r="L94" s="248">
        <v>23570605.494514957</v>
      </c>
      <c r="M94" s="250">
        <v>8.9166666666666661</v>
      </c>
    </row>
    <row r="95" spans="2:13" x14ac:dyDescent="0.2">
      <c r="B95" s="193"/>
      <c r="C95" s="194"/>
      <c r="D95" s="193"/>
      <c r="E95" s="196"/>
      <c r="F95" s="193"/>
      <c r="G95" s="197"/>
      <c r="M95" s="250"/>
    </row>
    <row r="96" spans="2:13" x14ac:dyDescent="0.2">
      <c r="B96" s="193"/>
      <c r="C96" s="194"/>
      <c r="D96" s="193"/>
      <c r="E96" s="193"/>
      <c r="F96" s="193"/>
      <c r="G96" s="197"/>
      <c r="M96" s="250"/>
    </row>
    <row r="97" spans="2:13" x14ac:dyDescent="0.2">
      <c r="B97" s="193"/>
      <c r="C97" s="194"/>
      <c r="D97" s="193"/>
      <c r="E97" s="193"/>
      <c r="F97" s="193"/>
      <c r="G97" s="193"/>
      <c r="M97" s="250"/>
    </row>
    <row r="98" spans="2:13" x14ac:dyDescent="0.2">
      <c r="D98" s="193"/>
      <c r="E98" s="193"/>
      <c r="F98" s="193"/>
      <c r="G98" s="193"/>
    </row>
    <row r="99" spans="2:13" x14ac:dyDescent="0.2">
      <c r="D99" s="193"/>
      <c r="E99" s="193"/>
      <c r="F99" s="193"/>
      <c r="G99" s="193"/>
    </row>
  </sheetData>
  <conditionalFormatting sqref="F15:O15">
    <cfRule type="cellIs" dxfId="2" priority="1" operator="greaterThan">
      <formula>1</formula>
    </cfRule>
  </conditionalFormatting>
  <dataValidations count="1">
    <dataValidation type="list" allowBlank="1" showInputMessage="1" showErrorMessage="1" sqref="C38">
      <formula1>modelYears</formula1>
    </dataValidation>
  </dataValidations>
  <pageMargins left="0.7" right="0.7" top="0.75" bottom="0.75" header="0.3" footer="0.3"/>
  <pageSetup scale="40" orientation="landscape" horizontalDpi="4294967292" verticalDpi="4294967292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 tint="-0.499984740745262"/>
    <pageSetUpPr fitToPage="1"/>
  </sheetPr>
  <dimension ref="A1:P77"/>
  <sheetViews>
    <sheetView zoomScale="70" zoomScaleNormal="70" zoomScalePageLayoutView="125" workbookViewId="0">
      <pane ySplit="8" topLeftCell="A21" activePane="bottomLeft" state="frozen"/>
      <selection pane="bottomLeft" activeCell="C60" sqref="C60"/>
    </sheetView>
  </sheetViews>
  <sheetFormatPr defaultColWidth="8.7109375" defaultRowHeight="12.75" x14ac:dyDescent="0.2"/>
  <cols>
    <col min="1" max="1" width="29.28515625" customWidth="1"/>
    <col min="2" max="2" width="43.42578125" customWidth="1"/>
    <col min="3" max="3" width="17.140625" customWidth="1"/>
    <col min="4" max="4" width="4.7109375" customWidth="1"/>
    <col min="5" max="5" width="32.42578125" bestFit="1" customWidth="1"/>
    <col min="6" max="6" width="12.140625" customWidth="1"/>
    <col min="7" max="15" width="15.140625" customWidth="1"/>
  </cols>
  <sheetData>
    <row r="1" spans="1:15" s="44" customFormat="1" x14ac:dyDescent="0.2">
      <c r="A1" s="46" t="str">
        <f>doctitle</f>
        <v>High-Level Feasibility Model</v>
      </c>
      <c r="B1" s="43"/>
      <c r="C1" s="131" t="s">
        <v>224</v>
      </c>
      <c r="O1" s="131" t="s">
        <v>224</v>
      </c>
    </row>
    <row r="2" spans="1:15" s="44" customFormat="1" x14ac:dyDescent="0.2">
      <c r="A2" s="46" t="str">
        <f>docclient</f>
        <v>National Forest Foundation</v>
      </c>
      <c r="B2" s="43"/>
    </row>
    <row r="3" spans="1:15" s="44" customFormat="1" x14ac:dyDescent="0.2">
      <c r="A3" s="46" t="str">
        <f>docproject</f>
        <v>California Assessment of Wood Business Innovation Opportunities and Markets</v>
      </c>
      <c r="B3" s="43"/>
    </row>
    <row r="4" spans="1:15" s="44" customFormat="1" x14ac:dyDescent="0.2">
      <c r="A4" s="45" t="str">
        <f>docversion</f>
        <v>Final Draft - December 31, 2015</v>
      </c>
      <c r="B4" s="45"/>
    </row>
    <row r="5" spans="1:15" s="7" customFormat="1" x14ac:dyDescent="0.2">
      <c r="A5" s="6"/>
      <c r="B5" s="6"/>
    </row>
    <row r="6" spans="1:15" s="7" customFormat="1" ht="15.75" x14ac:dyDescent="0.25">
      <c r="A6" s="40" t="s">
        <v>45</v>
      </c>
      <c r="B6" s="8"/>
    </row>
    <row r="8" spans="1:15" x14ac:dyDescent="0.2">
      <c r="A8" s="38" t="s">
        <v>3</v>
      </c>
      <c r="B8" s="38"/>
      <c r="C8" s="38"/>
      <c r="E8" s="38" t="s">
        <v>5</v>
      </c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x14ac:dyDescent="0.2">
      <c r="A9" s="39" t="s">
        <v>44</v>
      </c>
      <c r="B9" s="5"/>
    </row>
    <row r="10" spans="1:15" x14ac:dyDescent="0.2">
      <c r="E10" s="95" t="s">
        <v>180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3.5" thickBot="1" x14ac:dyDescent="0.25">
      <c r="A11" s="41" t="s">
        <v>7</v>
      </c>
      <c r="B11" s="41" t="s">
        <v>35</v>
      </c>
      <c r="C11" s="64"/>
      <c r="E11" s="42" t="s">
        <v>199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ht="14.25" thickTop="1" thickBot="1" x14ac:dyDescent="0.25">
      <c r="A12" s="13" t="s">
        <v>100</v>
      </c>
      <c r="B12" t="s">
        <v>242</v>
      </c>
      <c r="C12" s="173">
        <v>900</v>
      </c>
      <c r="E12" s="42"/>
      <c r="F12" s="74">
        <f>F43</f>
        <v>2017</v>
      </c>
      <c r="G12" s="74">
        <f t="shared" ref="G12:O12" si="0">G43</f>
        <v>2018</v>
      </c>
      <c r="H12" s="74">
        <f t="shared" si="0"/>
        <v>2019</v>
      </c>
      <c r="I12" s="74">
        <f t="shared" si="0"/>
        <v>2020</v>
      </c>
      <c r="J12" s="74">
        <f t="shared" si="0"/>
        <v>2021</v>
      </c>
      <c r="K12" s="74">
        <f t="shared" si="0"/>
        <v>2022</v>
      </c>
      <c r="L12" s="74">
        <f t="shared" si="0"/>
        <v>2023</v>
      </c>
      <c r="M12" s="74">
        <f t="shared" si="0"/>
        <v>2024</v>
      </c>
      <c r="N12" s="74">
        <f t="shared" si="0"/>
        <v>2025</v>
      </c>
      <c r="O12" s="74">
        <f t="shared" si="0"/>
        <v>2026</v>
      </c>
    </row>
    <row r="13" spans="1:15" ht="14.25" thickTop="1" thickBot="1" x14ac:dyDescent="0.25">
      <c r="A13" s="13" t="s">
        <v>102</v>
      </c>
      <c r="B13" s="66" t="s">
        <v>179</v>
      </c>
      <c r="C13" s="174">
        <f>41/900</f>
        <v>4.5555555555555557E-2</v>
      </c>
      <c r="E13" s="42" t="s">
        <v>148</v>
      </c>
      <c r="F13" s="72">
        <f t="shared" ref="F13:O13" si="1">IF(CLT_MktBaseYr1-F$12=0,CLT_MktBase,IF(CLT_MktBaseYr1-F$12&lt;0,E13,(F$12-$F$12)/(CLT_MktBaseYr1-$F$12)*CLT_MktBase))</f>
        <v>0</v>
      </c>
      <c r="G13" s="72">
        <f t="shared" si="1"/>
        <v>2.0499999999999998</v>
      </c>
      <c r="H13" s="72">
        <f t="shared" si="1"/>
        <v>4.0999999999999996</v>
      </c>
      <c r="I13" s="72">
        <f t="shared" si="1"/>
        <v>6.1499999999999995</v>
      </c>
      <c r="J13" s="72">
        <f t="shared" si="1"/>
        <v>6.1499999999999995</v>
      </c>
      <c r="K13" s="72">
        <f t="shared" si="1"/>
        <v>6.1499999999999995</v>
      </c>
      <c r="L13" s="72">
        <f t="shared" si="1"/>
        <v>6.1499999999999995</v>
      </c>
      <c r="M13" s="72">
        <f t="shared" si="1"/>
        <v>6.1499999999999995</v>
      </c>
      <c r="N13" s="72">
        <f t="shared" si="1"/>
        <v>6.1499999999999995</v>
      </c>
      <c r="O13" s="72">
        <f t="shared" si="1"/>
        <v>6.1499999999999995</v>
      </c>
    </row>
    <row r="14" spans="1:15" ht="16.5" thickTop="1" thickBot="1" x14ac:dyDescent="0.25">
      <c r="A14" s="13" t="s">
        <v>197</v>
      </c>
      <c r="B14" s="65" t="s">
        <v>198</v>
      </c>
      <c r="C14" s="175">
        <v>0.15</v>
      </c>
      <c r="E14" s="42" t="s">
        <v>149</v>
      </c>
      <c r="F14" s="73">
        <f t="shared" ref="F14:O14" si="2">IF(F$43&lt;CLT_OpYr1,0,IF(F$43=CLT_OpYr1,CLT_OpYr1Pct,1))*(CLT_Output)</f>
        <v>0</v>
      </c>
      <c r="G14" s="73">
        <f t="shared" si="2"/>
        <v>0.82500000000000007</v>
      </c>
      <c r="H14" s="73">
        <f t="shared" si="2"/>
        <v>1.1000000000000001</v>
      </c>
      <c r="I14" s="73">
        <f t="shared" si="2"/>
        <v>1.1000000000000001</v>
      </c>
      <c r="J14" s="73">
        <f t="shared" si="2"/>
        <v>1.1000000000000001</v>
      </c>
      <c r="K14" s="73">
        <f t="shared" si="2"/>
        <v>1.1000000000000001</v>
      </c>
      <c r="L14" s="73">
        <f t="shared" si="2"/>
        <v>1.1000000000000001</v>
      </c>
      <c r="M14" s="73">
        <f t="shared" si="2"/>
        <v>1.1000000000000001</v>
      </c>
      <c r="N14" s="73">
        <f t="shared" si="2"/>
        <v>1.1000000000000001</v>
      </c>
      <c r="O14" s="73">
        <f t="shared" si="2"/>
        <v>1.1000000000000001</v>
      </c>
    </row>
    <row r="15" spans="1:15" ht="14.25" thickTop="1" thickBot="1" x14ac:dyDescent="0.25">
      <c r="A15" s="13" t="s">
        <v>8</v>
      </c>
      <c r="B15" t="s">
        <v>243</v>
      </c>
      <c r="C15" s="136">
        <f>PRODUCT(C12:C14)</f>
        <v>6.1499999999999995</v>
      </c>
      <c r="E15" s="42" t="s">
        <v>150</v>
      </c>
      <c r="F15" s="42" t="str">
        <f>IFERROR(F14/F13,"")</f>
        <v/>
      </c>
      <c r="G15" s="75">
        <f t="shared" ref="G15:O15" si="3">IFERROR(G14/G13,"")</f>
        <v>0.40243902439024398</v>
      </c>
      <c r="H15" s="75">
        <f t="shared" si="3"/>
        <v>0.26829268292682934</v>
      </c>
      <c r="I15" s="75">
        <f t="shared" si="3"/>
        <v>0.17886178861788621</v>
      </c>
      <c r="J15" s="75">
        <f t="shared" si="3"/>
        <v>0.17886178861788621</v>
      </c>
      <c r="K15" s="75">
        <f t="shared" si="3"/>
        <v>0.17886178861788621</v>
      </c>
      <c r="L15" s="75">
        <f t="shared" si="3"/>
        <v>0.17886178861788621</v>
      </c>
      <c r="M15" s="75">
        <f t="shared" si="3"/>
        <v>0.17886178861788621</v>
      </c>
      <c r="N15" s="75">
        <f t="shared" si="3"/>
        <v>0.17886178861788621</v>
      </c>
      <c r="O15" s="75">
        <f t="shared" si="3"/>
        <v>0.17886178861788621</v>
      </c>
    </row>
    <row r="16" spans="1:15" ht="14.25" thickTop="1" thickBot="1" x14ac:dyDescent="0.25">
      <c r="A16" s="13" t="s">
        <v>98</v>
      </c>
      <c r="B16" s="24" t="s">
        <v>99</v>
      </c>
      <c r="C16" s="176">
        <v>2020</v>
      </c>
    </row>
    <row r="17" spans="1:3" ht="13.5" thickTop="1" x14ac:dyDescent="0.2"/>
    <row r="18" spans="1:3" ht="13.5" thickBot="1" x14ac:dyDescent="0.25">
      <c r="A18" s="41" t="s">
        <v>19</v>
      </c>
      <c r="C18" s="13"/>
    </row>
    <row r="19" spans="1:3" ht="14.25" thickTop="1" thickBot="1" x14ac:dyDescent="0.25">
      <c r="A19" s="14" t="s">
        <v>20</v>
      </c>
      <c r="B19" t="s">
        <v>107</v>
      </c>
      <c r="C19" s="177">
        <f>1100000/4200</f>
        <v>261.90476190476193</v>
      </c>
    </row>
    <row r="20" spans="1:3" ht="14.25" thickTop="1" thickBot="1" x14ac:dyDescent="0.25">
      <c r="A20" s="14" t="s">
        <v>103</v>
      </c>
      <c r="B20" t="s">
        <v>104</v>
      </c>
      <c r="C20" s="173">
        <f>50*40*2</f>
        <v>4000</v>
      </c>
    </row>
    <row r="21" spans="1:3" ht="14.25" thickTop="1" thickBot="1" x14ac:dyDescent="0.25">
      <c r="A21" s="14" t="s">
        <v>105</v>
      </c>
      <c r="B21" t="s">
        <v>106</v>
      </c>
      <c r="C21" s="175">
        <v>0.05</v>
      </c>
    </row>
    <row r="22" spans="1:3" ht="13.5" thickTop="1" x14ac:dyDescent="0.2">
      <c r="A22" s="14" t="s">
        <v>87</v>
      </c>
      <c r="C22" s="10">
        <f>C20*(1+C21)</f>
        <v>4200</v>
      </c>
    </row>
    <row r="23" spans="1:3" x14ac:dyDescent="0.2">
      <c r="A23" s="14" t="s">
        <v>132</v>
      </c>
      <c r="B23" t="s">
        <v>244</v>
      </c>
      <c r="C23" s="136">
        <f>C19*C22/1000000</f>
        <v>1.1000000000000001</v>
      </c>
    </row>
    <row r="24" spans="1:3" x14ac:dyDescent="0.2">
      <c r="C24" s="10"/>
    </row>
    <row r="25" spans="1:3" ht="13.5" thickBot="1" x14ac:dyDescent="0.25">
      <c r="A25" s="41" t="s">
        <v>60</v>
      </c>
    </row>
    <row r="26" spans="1:3" ht="13.5" thickTop="1" x14ac:dyDescent="0.2">
      <c r="A26" s="14" t="s">
        <v>200</v>
      </c>
      <c r="B26" t="s">
        <v>203</v>
      </c>
      <c r="C26" s="211">
        <v>1</v>
      </c>
    </row>
    <row r="27" spans="1:3" x14ac:dyDescent="0.2">
      <c r="A27" s="14"/>
      <c r="B27" s="203"/>
      <c r="C27" s="212"/>
    </row>
    <row r="28" spans="1:3" x14ac:dyDescent="0.2">
      <c r="A28" s="14"/>
      <c r="B28" s="203"/>
      <c r="C28" s="208"/>
    </row>
    <row r="30" spans="1:3" ht="13.5" thickBot="1" x14ac:dyDescent="0.25">
      <c r="A30" s="41" t="s">
        <v>14</v>
      </c>
      <c r="B30" s="57"/>
    </row>
    <row r="31" spans="1:3" ht="14.25" thickTop="1" thickBot="1" x14ac:dyDescent="0.25">
      <c r="A31" s="13" t="s">
        <v>15</v>
      </c>
      <c r="B31" t="s">
        <v>245</v>
      </c>
      <c r="C31" s="179">
        <f>10000000+4000000</f>
        <v>14000000</v>
      </c>
    </row>
    <row r="32" spans="1:3" ht="14.25" thickTop="1" thickBot="1" x14ac:dyDescent="0.25">
      <c r="A32" s="13" t="s">
        <v>236</v>
      </c>
      <c r="B32" t="s">
        <v>237</v>
      </c>
      <c r="C32" s="180">
        <v>12</v>
      </c>
    </row>
    <row r="33" spans="1:16" ht="14.25" thickTop="1" thickBot="1" x14ac:dyDescent="0.25">
      <c r="A33" s="13" t="s">
        <v>55</v>
      </c>
      <c r="B33" t="s">
        <v>56</v>
      </c>
      <c r="C33" s="179">
        <v>100000</v>
      </c>
    </row>
    <row r="34" spans="1:16" ht="14.25" thickTop="1" thickBot="1" x14ac:dyDescent="0.25">
      <c r="A34" s="13" t="s">
        <v>57</v>
      </c>
      <c r="C34" s="12">
        <f>C32*C33</f>
        <v>1200000</v>
      </c>
    </row>
    <row r="35" spans="1:16" ht="14.25" thickTop="1" thickBot="1" x14ac:dyDescent="0.25">
      <c r="A35" s="13" t="s">
        <v>47</v>
      </c>
      <c r="B35" t="s">
        <v>48</v>
      </c>
      <c r="C35" s="179">
        <v>1500000</v>
      </c>
    </row>
    <row r="36" spans="1:16" ht="13.5" thickTop="1" x14ac:dyDescent="0.2">
      <c r="A36" s="13" t="s">
        <v>27</v>
      </c>
      <c r="C36" s="12">
        <f>SUM(C31,C34:C35)</f>
        <v>16700000</v>
      </c>
    </row>
    <row r="38" spans="1:16" ht="13.5" thickBot="1" x14ac:dyDescent="0.25">
      <c r="A38" s="41" t="s">
        <v>62</v>
      </c>
    </row>
    <row r="39" spans="1:16" ht="14.25" thickTop="1" thickBot="1" x14ac:dyDescent="0.25">
      <c r="A39" s="13" t="s">
        <v>28</v>
      </c>
      <c r="C39" s="176">
        <v>2017</v>
      </c>
    </row>
    <row r="40" spans="1:16" ht="14.25" thickTop="1" thickBot="1" x14ac:dyDescent="0.25">
      <c r="A40" s="14" t="s">
        <v>18</v>
      </c>
      <c r="B40" t="s">
        <v>58</v>
      </c>
      <c r="C40" s="173">
        <v>12</v>
      </c>
    </row>
    <row r="41" spans="1:16" ht="14.25" thickTop="1" thickBot="1" x14ac:dyDescent="0.25">
      <c r="A41" s="13" t="s">
        <v>16</v>
      </c>
      <c r="B41" t="s">
        <v>21</v>
      </c>
      <c r="C41" s="58">
        <f>C39+FLOOR(C40/12,1)</f>
        <v>2018</v>
      </c>
    </row>
    <row r="42" spans="1:16" ht="14.25" thickTop="1" thickBot="1" x14ac:dyDescent="0.25">
      <c r="A42" s="13" t="s">
        <v>17</v>
      </c>
      <c r="B42" t="s">
        <v>22</v>
      </c>
      <c r="C42" s="178">
        <v>0.75</v>
      </c>
    </row>
    <row r="43" spans="1:16" ht="14.25" thickTop="1" thickBot="1" x14ac:dyDescent="0.25">
      <c r="F43" s="96">
        <f>modelYear1</f>
        <v>2017</v>
      </c>
      <c r="G43" s="96">
        <f>F43+1</f>
        <v>2018</v>
      </c>
      <c r="H43" s="96">
        <f t="shared" ref="H43:O43" si="4">G43+1</f>
        <v>2019</v>
      </c>
      <c r="I43" s="96">
        <f t="shared" si="4"/>
        <v>2020</v>
      </c>
      <c r="J43" s="96">
        <f t="shared" si="4"/>
        <v>2021</v>
      </c>
      <c r="K43" s="96">
        <f t="shared" si="4"/>
        <v>2022</v>
      </c>
      <c r="L43" s="96">
        <f t="shared" si="4"/>
        <v>2023</v>
      </c>
      <c r="M43" s="96">
        <f t="shared" si="4"/>
        <v>2024</v>
      </c>
      <c r="N43" s="96">
        <f t="shared" si="4"/>
        <v>2025</v>
      </c>
      <c r="O43" s="96">
        <f t="shared" si="4"/>
        <v>2026</v>
      </c>
    </row>
    <row r="44" spans="1:16" ht="13.5" thickTop="1" x14ac:dyDescent="0.2">
      <c r="A44" s="41" t="s">
        <v>64</v>
      </c>
      <c r="E44" s="20" t="s">
        <v>23</v>
      </c>
      <c r="F44" s="97"/>
      <c r="G44" s="97"/>
      <c r="H44" s="97"/>
      <c r="I44" s="97"/>
      <c r="J44" s="97"/>
      <c r="K44" s="97"/>
      <c r="L44" s="97"/>
      <c r="M44" s="97"/>
      <c r="N44" s="97"/>
      <c r="O44" s="97"/>
    </row>
    <row r="45" spans="1:16" ht="15.75" thickBot="1" x14ac:dyDescent="0.4">
      <c r="A45" s="15" t="s">
        <v>135</v>
      </c>
      <c r="E45" s="13" t="str">
        <f>A75</f>
        <v>CLT Panel Sales</v>
      </c>
      <c r="F45" s="98">
        <f t="shared" ref="F45:O45" si="5">IF(F$43&lt;CLT_OpYr1,0,IF(F$43=CLT_OpYr1,CLT_OpYr1Pct,1))*(CLT_Output*CLT_RevPerFt3)*1000000</f>
        <v>0</v>
      </c>
      <c r="G45" s="98">
        <f t="shared" si="5"/>
        <v>17325000.000000004</v>
      </c>
      <c r="H45" s="98">
        <f t="shared" si="5"/>
        <v>23100000</v>
      </c>
      <c r="I45" s="98">
        <f t="shared" si="5"/>
        <v>23100000</v>
      </c>
      <c r="J45" s="98">
        <f t="shared" si="5"/>
        <v>23100000</v>
      </c>
      <c r="K45" s="98">
        <f t="shared" si="5"/>
        <v>23100000</v>
      </c>
      <c r="L45" s="98">
        <f t="shared" si="5"/>
        <v>23100000</v>
      </c>
      <c r="M45" s="98">
        <f t="shared" si="5"/>
        <v>23100000</v>
      </c>
      <c r="N45" s="98">
        <f t="shared" si="5"/>
        <v>23100000</v>
      </c>
      <c r="O45" s="98">
        <f t="shared" si="5"/>
        <v>23100000</v>
      </c>
    </row>
    <row r="46" spans="1:16" ht="14.25" thickTop="1" thickBot="1" x14ac:dyDescent="0.25">
      <c r="A46" s="18" t="s">
        <v>130</v>
      </c>
      <c r="B46" t="s">
        <v>246</v>
      </c>
      <c r="C46" s="181">
        <f>5.76</f>
        <v>5.76</v>
      </c>
      <c r="E46" s="15" t="s">
        <v>96</v>
      </c>
      <c r="F46" s="99">
        <f t="shared" ref="F46:O46" si="6">SUM(F45:F45)</f>
        <v>0</v>
      </c>
      <c r="G46" s="99">
        <f t="shared" si="6"/>
        <v>17325000.000000004</v>
      </c>
      <c r="H46" s="99">
        <f t="shared" si="6"/>
        <v>23100000</v>
      </c>
      <c r="I46" s="99">
        <f t="shared" si="6"/>
        <v>23100000</v>
      </c>
      <c r="J46" s="99">
        <f t="shared" si="6"/>
        <v>23100000</v>
      </c>
      <c r="K46" s="99">
        <f t="shared" si="6"/>
        <v>23100000</v>
      </c>
      <c r="L46" s="99">
        <f t="shared" si="6"/>
        <v>23100000</v>
      </c>
      <c r="M46" s="99">
        <f t="shared" si="6"/>
        <v>23100000</v>
      </c>
      <c r="N46" s="99">
        <f t="shared" si="6"/>
        <v>23100000</v>
      </c>
      <c r="O46" s="99">
        <f t="shared" si="6"/>
        <v>23100000</v>
      </c>
      <c r="P46" s="104"/>
    </row>
    <row r="47" spans="1:16" ht="14.25" thickTop="1" thickBot="1" x14ac:dyDescent="0.25">
      <c r="A47" s="16" t="s">
        <v>108</v>
      </c>
      <c r="B47" t="s">
        <v>134</v>
      </c>
      <c r="C47" s="182">
        <f>330+25</f>
        <v>355</v>
      </c>
      <c r="E47" s="20" t="s">
        <v>24</v>
      </c>
      <c r="F47" s="97"/>
      <c r="G47" s="97"/>
      <c r="H47" s="97"/>
      <c r="I47" s="97"/>
      <c r="J47" s="97"/>
      <c r="K47" s="97"/>
      <c r="L47" s="97"/>
      <c r="M47" s="97"/>
      <c r="N47" s="97"/>
      <c r="O47" s="97"/>
    </row>
    <row r="48" spans="1:16" ht="13.5" thickTop="1" x14ac:dyDescent="0.2">
      <c r="A48" s="16" t="s">
        <v>138</v>
      </c>
      <c r="C48" s="12">
        <f>CLT_MaterialPerHour*CLT_OpHours*C47</f>
        <v>8588160</v>
      </c>
      <c r="E48" s="9" t="s">
        <v>140</v>
      </c>
      <c r="F48" s="97"/>
      <c r="G48" s="97"/>
      <c r="H48" s="97"/>
      <c r="I48" s="97"/>
      <c r="J48" s="97"/>
      <c r="K48" s="97"/>
      <c r="L48" s="97"/>
      <c r="M48" s="97"/>
      <c r="N48" s="97"/>
      <c r="O48" s="97"/>
    </row>
    <row r="49" spans="1:15" ht="13.5" thickBot="1" x14ac:dyDescent="0.25">
      <c r="A49" s="15" t="s">
        <v>136</v>
      </c>
      <c r="E49" s="16" t="s">
        <v>135</v>
      </c>
      <c r="F49" s="100">
        <f t="shared" ref="F49:O49" si="7">IF(F$43&lt;CLT_OpYr1,0,IF(F$43=CLT_OpYr1,CLT_OpYr1Pct,1))*CLT_RawMaterialsCost</f>
        <v>0</v>
      </c>
      <c r="G49" s="100">
        <f t="shared" si="7"/>
        <v>6441120</v>
      </c>
      <c r="H49" s="100">
        <f t="shared" si="7"/>
        <v>8588160</v>
      </c>
      <c r="I49" s="100">
        <f t="shared" si="7"/>
        <v>8588160</v>
      </c>
      <c r="J49" s="100">
        <f t="shared" si="7"/>
        <v>8588160</v>
      </c>
      <c r="K49" s="100">
        <f t="shared" si="7"/>
        <v>8588160</v>
      </c>
      <c r="L49" s="100">
        <f t="shared" si="7"/>
        <v>8588160</v>
      </c>
      <c r="M49" s="100">
        <f t="shared" si="7"/>
        <v>8588160</v>
      </c>
      <c r="N49" s="100">
        <f t="shared" si="7"/>
        <v>8588160</v>
      </c>
      <c r="O49" s="100">
        <f t="shared" si="7"/>
        <v>8588160</v>
      </c>
    </row>
    <row r="50" spans="1:15" ht="14.25" thickTop="1" thickBot="1" x14ac:dyDescent="0.25">
      <c r="A50" s="16" t="s">
        <v>109</v>
      </c>
      <c r="B50" t="s">
        <v>133</v>
      </c>
      <c r="C50" s="182">
        <v>1.6</v>
      </c>
      <c r="E50" s="16" t="s">
        <v>136</v>
      </c>
      <c r="F50" s="100">
        <f t="shared" ref="F50:O50" si="8">IF(F$43&lt;CLT_OpYr1,0,IF(F$43=CLT_OpYr1,CLT_OpYr1Pct,1))*CLT_AnnualCOGS</f>
        <v>0</v>
      </c>
      <c r="G50" s="100">
        <f t="shared" si="8"/>
        <v>1815000.0000000005</v>
      </c>
      <c r="H50" s="100">
        <f t="shared" si="8"/>
        <v>2420000.0000000005</v>
      </c>
      <c r="I50" s="100">
        <f t="shared" si="8"/>
        <v>2420000.0000000005</v>
      </c>
      <c r="J50" s="100">
        <f t="shared" si="8"/>
        <v>2420000.0000000005</v>
      </c>
      <c r="K50" s="100">
        <f t="shared" si="8"/>
        <v>2420000.0000000005</v>
      </c>
      <c r="L50" s="100">
        <f t="shared" si="8"/>
        <v>2420000.0000000005</v>
      </c>
      <c r="M50" s="100">
        <f t="shared" si="8"/>
        <v>2420000.0000000005</v>
      </c>
      <c r="N50" s="100">
        <f t="shared" si="8"/>
        <v>2420000.0000000005</v>
      </c>
      <c r="O50" s="100">
        <f t="shared" si="8"/>
        <v>2420000.0000000005</v>
      </c>
    </row>
    <row r="51" spans="1:15" ht="14.25" thickTop="1" thickBot="1" x14ac:dyDescent="0.25">
      <c r="A51" s="16" t="s">
        <v>110</v>
      </c>
      <c r="B51" t="s">
        <v>133</v>
      </c>
      <c r="C51" s="182">
        <v>0.4</v>
      </c>
      <c r="E51" s="16" t="s">
        <v>141</v>
      </c>
      <c r="F51" s="100">
        <f t="shared" ref="F51:O51" si="9">IF(F$43&lt;CLT_OpYr1,0,IF(F$43=CLT_OpYr1,CLT_OpYr1Pct,1))*CLT_AnnualHourlyLabor</f>
        <v>0</v>
      </c>
      <c r="G51" s="100">
        <f t="shared" si="9"/>
        <v>1058832</v>
      </c>
      <c r="H51" s="100">
        <f t="shared" si="9"/>
        <v>1411776</v>
      </c>
      <c r="I51" s="100">
        <f t="shared" si="9"/>
        <v>1411776</v>
      </c>
      <c r="J51" s="100">
        <f t="shared" si="9"/>
        <v>1411776</v>
      </c>
      <c r="K51" s="100">
        <f t="shared" si="9"/>
        <v>1411776</v>
      </c>
      <c r="L51" s="100">
        <f t="shared" si="9"/>
        <v>1411776</v>
      </c>
      <c r="M51" s="100">
        <f t="shared" si="9"/>
        <v>1411776</v>
      </c>
      <c r="N51" s="100">
        <f t="shared" si="9"/>
        <v>1411776</v>
      </c>
      <c r="O51" s="100">
        <f t="shared" si="9"/>
        <v>1411776</v>
      </c>
    </row>
    <row r="52" spans="1:15" ht="13.5" thickTop="1" x14ac:dyDescent="0.2">
      <c r="A52" s="16" t="s">
        <v>111</v>
      </c>
      <c r="B52" t="s">
        <v>133</v>
      </c>
      <c r="C52" s="183">
        <v>0.2</v>
      </c>
      <c r="E52" s="16" t="s">
        <v>123</v>
      </c>
      <c r="F52" s="100">
        <f t="shared" ref="F52:O52" si="10">IF(F$43&lt;CLT_OpYr1,0,IF(F$43=CLT_OpYr1,CLT_OpYr1Pct,1))*CLT_SuppliesPerHour*CLT_OpHours</f>
        <v>0</v>
      </c>
      <c r="G52" s="100">
        <f t="shared" si="10"/>
        <v>378000</v>
      </c>
      <c r="H52" s="100">
        <f t="shared" si="10"/>
        <v>504000</v>
      </c>
      <c r="I52" s="100">
        <f t="shared" si="10"/>
        <v>504000</v>
      </c>
      <c r="J52" s="100">
        <f t="shared" si="10"/>
        <v>504000</v>
      </c>
      <c r="K52" s="100">
        <f t="shared" si="10"/>
        <v>504000</v>
      </c>
      <c r="L52" s="100">
        <f t="shared" si="10"/>
        <v>504000</v>
      </c>
      <c r="M52" s="100">
        <f t="shared" si="10"/>
        <v>504000</v>
      </c>
      <c r="N52" s="100">
        <f t="shared" si="10"/>
        <v>504000</v>
      </c>
      <c r="O52" s="100">
        <f t="shared" si="10"/>
        <v>504000</v>
      </c>
    </row>
    <row r="53" spans="1:15" ht="15" x14ac:dyDescent="0.35">
      <c r="A53" s="16" t="s">
        <v>137</v>
      </c>
      <c r="C53" s="135">
        <f>SUM(C50:C52)</f>
        <v>2.2000000000000002</v>
      </c>
      <c r="E53" s="16" t="s">
        <v>142</v>
      </c>
      <c r="F53" s="98">
        <f t="shared" ref="F53:O53" si="11">IF(F$43&lt;CLT_OpYr1,0,IF(F$43=CLT_OpYr1,CLT_OpYr1Pct,1))*CLT_RandMperHour*CLT_OpHours</f>
        <v>0</v>
      </c>
      <c r="G53" s="98">
        <f t="shared" si="11"/>
        <v>267750</v>
      </c>
      <c r="H53" s="98">
        <f t="shared" si="11"/>
        <v>357000</v>
      </c>
      <c r="I53" s="98">
        <f t="shared" si="11"/>
        <v>357000</v>
      </c>
      <c r="J53" s="98">
        <f t="shared" si="11"/>
        <v>357000</v>
      </c>
      <c r="K53" s="98">
        <f t="shared" si="11"/>
        <v>357000</v>
      </c>
      <c r="L53" s="98">
        <f t="shared" si="11"/>
        <v>357000</v>
      </c>
      <c r="M53" s="98">
        <f t="shared" si="11"/>
        <v>357000</v>
      </c>
      <c r="N53" s="98">
        <f t="shared" si="11"/>
        <v>357000</v>
      </c>
      <c r="O53" s="98">
        <f t="shared" si="11"/>
        <v>357000</v>
      </c>
    </row>
    <row r="54" spans="1:15" x14ac:dyDescent="0.2">
      <c r="A54" s="16" t="s">
        <v>139</v>
      </c>
      <c r="C54" s="12">
        <f>CLT_Output*CLT_COGS*1000000</f>
        <v>2420000.0000000005</v>
      </c>
      <c r="E54" s="67" t="s">
        <v>143</v>
      </c>
      <c r="F54" s="101">
        <f>SUM(F49:F53)</f>
        <v>0</v>
      </c>
      <c r="G54" s="99">
        <f t="shared" ref="G54:O54" si="12">SUM(G49:G53)</f>
        <v>9960702</v>
      </c>
      <c r="H54" s="99">
        <f t="shared" si="12"/>
        <v>13280936</v>
      </c>
      <c r="I54" s="99">
        <f t="shared" si="12"/>
        <v>13280936</v>
      </c>
      <c r="J54" s="99">
        <f t="shared" si="12"/>
        <v>13280936</v>
      </c>
      <c r="K54" s="99">
        <f t="shared" si="12"/>
        <v>13280936</v>
      </c>
      <c r="L54" s="99">
        <f t="shared" si="12"/>
        <v>13280936</v>
      </c>
      <c r="M54" s="99">
        <f t="shared" si="12"/>
        <v>13280936</v>
      </c>
      <c r="N54" s="99">
        <f t="shared" si="12"/>
        <v>13280936</v>
      </c>
      <c r="O54" s="99">
        <f t="shared" si="12"/>
        <v>13280936</v>
      </c>
    </row>
    <row r="55" spans="1:15" x14ac:dyDescent="0.2">
      <c r="A55" s="16"/>
      <c r="E55" s="71" t="s">
        <v>144</v>
      </c>
      <c r="F55" s="97"/>
      <c r="G55" s="97"/>
      <c r="H55" s="97"/>
      <c r="I55" s="97"/>
      <c r="J55" s="97"/>
      <c r="K55" s="97"/>
      <c r="L55" s="97"/>
      <c r="M55" s="97"/>
      <c r="N55" s="97"/>
      <c r="O55" s="97"/>
    </row>
    <row r="56" spans="1:15" ht="13.5" thickBot="1" x14ac:dyDescent="0.25">
      <c r="A56" s="15" t="s">
        <v>65</v>
      </c>
      <c r="E56" s="16" t="s">
        <v>145</v>
      </c>
      <c r="F56" s="100">
        <f t="shared" ref="F56:O56" si="13">IF(F$43&lt;CLT_OpYr1,0,IF(F$43=CLT_OpYr1,CLT_OpYr1Pct,1))*CLT_AnnualSalaries</f>
        <v>0</v>
      </c>
      <c r="G56" s="100">
        <f t="shared" si="13"/>
        <v>600000</v>
      </c>
      <c r="H56" s="100">
        <f t="shared" si="13"/>
        <v>800000</v>
      </c>
      <c r="I56" s="100">
        <f t="shared" si="13"/>
        <v>800000</v>
      </c>
      <c r="J56" s="100">
        <f t="shared" si="13"/>
        <v>800000</v>
      </c>
      <c r="K56" s="100">
        <f t="shared" si="13"/>
        <v>800000</v>
      </c>
      <c r="L56" s="100">
        <f t="shared" si="13"/>
        <v>800000</v>
      </c>
      <c r="M56" s="100">
        <f t="shared" si="13"/>
        <v>800000</v>
      </c>
      <c r="N56" s="100">
        <f t="shared" si="13"/>
        <v>800000</v>
      </c>
      <c r="O56" s="100">
        <f t="shared" si="13"/>
        <v>800000</v>
      </c>
    </row>
    <row r="57" spans="1:15" ht="16.5" thickTop="1" thickBot="1" x14ac:dyDescent="0.4">
      <c r="A57" s="68" t="s">
        <v>112</v>
      </c>
      <c r="B57" t="s">
        <v>77</v>
      </c>
      <c r="C57" s="180">
        <v>8</v>
      </c>
      <c r="E57" s="16" t="s">
        <v>146</v>
      </c>
      <c r="F57" s="98">
        <f t="shared" ref="F57:O57" si="14">IF(F$43&lt;CLT_OpYr1,0,IF(F$43=CLT_OpYr1,CLT_OpYr1Pct,1))*CLT_AnnualAdmin</f>
        <v>0</v>
      </c>
      <c r="G57" s="98">
        <f t="shared" si="14"/>
        <v>300000</v>
      </c>
      <c r="H57" s="98">
        <f t="shared" si="14"/>
        <v>400000</v>
      </c>
      <c r="I57" s="98">
        <f t="shared" si="14"/>
        <v>400000</v>
      </c>
      <c r="J57" s="98">
        <f t="shared" si="14"/>
        <v>400000</v>
      </c>
      <c r="K57" s="98">
        <f t="shared" si="14"/>
        <v>400000</v>
      </c>
      <c r="L57" s="98">
        <f t="shared" si="14"/>
        <v>400000</v>
      </c>
      <c r="M57" s="98">
        <f t="shared" si="14"/>
        <v>400000</v>
      </c>
      <c r="N57" s="98">
        <f t="shared" si="14"/>
        <v>400000</v>
      </c>
      <c r="O57" s="98">
        <f t="shared" si="14"/>
        <v>400000</v>
      </c>
    </row>
    <row r="58" spans="1:15" ht="14.25" thickTop="1" thickBot="1" x14ac:dyDescent="0.25">
      <c r="A58" s="16" t="s">
        <v>78</v>
      </c>
      <c r="B58" t="s">
        <v>81</v>
      </c>
      <c r="C58" s="179">
        <v>100000</v>
      </c>
      <c r="E58" s="67" t="s">
        <v>147</v>
      </c>
      <c r="F58" s="99">
        <f>SUM(F56:F57)</f>
        <v>0</v>
      </c>
      <c r="G58" s="99">
        <f t="shared" ref="G58:O58" si="15">SUM(G56:G57)</f>
        <v>900000</v>
      </c>
      <c r="H58" s="99">
        <f t="shared" si="15"/>
        <v>1200000</v>
      </c>
      <c r="I58" s="99">
        <f t="shared" si="15"/>
        <v>1200000</v>
      </c>
      <c r="J58" s="99">
        <f t="shared" si="15"/>
        <v>1200000</v>
      </c>
      <c r="K58" s="99">
        <f t="shared" si="15"/>
        <v>1200000</v>
      </c>
      <c r="L58" s="99">
        <f t="shared" si="15"/>
        <v>1200000</v>
      </c>
      <c r="M58" s="99">
        <f t="shared" si="15"/>
        <v>1200000</v>
      </c>
      <c r="N58" s="99">
        <f t="shared" si="15"/>
        <v>1200000</v>
      </c>
      <c r="O58" s="99">
        <f t="shared" si="15"/>
        <v>1200000</v>
      </c>
    </row>
    <row r="59" spans="1:15" ht="16.5" thickTop="1" thickBot="1" x14ac:dyDescent="0.4">
      <c r="A59" s="16" t="s">
        <v>116</v>
      </c>
      <c r="C59" s="12">
        <f>C57*C58</f>
        <v>800000</v>
      </c>
      <c r="E59" s="15" t="s">
        <v>25</v>
      </c>
      <c r="F59" s="102">
        <f>F54+F58</f>
        <v>0</v>
      </c>
      <c r="G59" s="102">
        <f>G54+G58</f>
        <v>10860702</v>
      </c>
      <c r="H59" s="102">
        <f>H54+H58</f>
        <v>14480936</v>
      </c>
      <c r="I59" s="102">
        <f t="shared" ref="I59:O59" si="16">I54+I58</f>
        <v>14480936</v>
      </c>
      <c r="J59" s="102">
        <f t="shared" si="16"/>
        <v>14480936</v>
      </c>
      <c r="K59" s="102">
        <f t="shared" si="16"/>
        <v>14480936</v>
      </c>
      <c r="L59" s="102">
        <f t="shared" si="16"/>
        <v>14480936</v>
      </c>
      <c r="M59" s="102">
        <f t="shared" si="16"/>
        <v>14480936</v>
      </c>
      <c r="N59" s="102">
        <f t="shared" si="16"/>
        <v>14480936</v>
      </c>
      <c r="O59" s="102">
        <f t="shared" si="16"/>
        <v>14480936</v>
      </c>
    </row>
    <row r="60" spans="1:15" ht="14.25" thickTop="1" thickBot="1" x14ac:dyDescent="0.25">
      <c r="A60" s="68" t="s">
        <v>113</v>
      </c>
      <c r="B60" t="s">
        <v>121</v>
      </c>
      <c r="C60" s="180">
        <v>24</v>
      </c>
      <c r="E60" s="61" t="s">
        <v>26</v>
      </c>
      <c r="F60" s="103">
        <f t="shared" ref="F60:O60" si="17">F46-F59</f>
        <v>0</v>
      </c>
      <c r="G60" s="227">
        <f t="shared" si="17"/>
        <v>6464298.0000000037</v>
      </c>
      <c r="H60" s="227">
        <f t="shared" si="17"/>
        <v>8619064</v>
      </c>
      <c r="I60" s="227">
        <f t="shared" si="17"/>
        <v>8619064</v>
      </c>
      <c r="J60" s="227">
        <f t="shared" si="17"/>
        <v>8619064</v>
      </c>
      <c r="K60" s="227">
        <f t="shared" si="17"/>
        <v>8619064</v>
      </c>
      <c r="L60" s="227">
        <f t="shared" si="17"/>
        <v>8619064</v>
      </c>
      <c r="M60" s="227">
        <f t="shared" si="17"/>
        <v>8619064</v>
      </c>
      <c r="N60" s="227">
        <f t="shared" si="17"/>
        <v>8619064</v>
      </c>
      <c r="O60" s="227">
        <f t="shared" si="17"/>
        <v>8619064</v>
      </c>
    </row>
    <row r="61" spans="1:15" ht="14.25" thickTop="1" thickBot="1" x14ac:dyDescent="0.25">
      <c r="A61" s="16" t="s">
        <v>114</v>
      </c>
      <c r="B61" t="s">
        <v>115</v>
      </c>
      <c r="C61" s="182">
        <v>18</v>
      </c>
      <c r="F61" s="210"/>
      <c r="G61" s="97"/>
      <c r="H61" s="99">
        <f>SUM(H50:H53,H56:H57)</f>
        <v>5892776</v>
      </c>
      <c r="I61" s="97"/>
      <c r="J61" s="97"/>
      <c r="K61" s="97"/>
      <c r="L61" s="97"/>
      <c r="M61" s="97"/>
      <c r="N61" s="97"/>
      <c r="O61" s="97"/>
    </row>
    <row r="62" spans="1:15" ht="14.25" thickTop="1" thickBot="1" x14ac:dyDescent="0.25">
      <c r="A62" s="16" t="s">
        <v>79</v>
      </c>
      <c r="B62" t="s">
        <v>158</v>
      </c>
      <c r="C62" s="178">
        <v>0.52</v>
      </c>
      <c r="E62" s="20" t="s">
        <v>15</v>
      </c>
      <c r="F62" s="210"/>
      <c r="G62" s="97"/>
      <c r="H62" s="97"/>
      <c r="I62" s="97"/>
      <c r="J62" s="97"/>
      <c r="K62" s="97"/>
      <c r="L62" s="97"/>
      <c r="M62" s="97"/>
      <c r="N62" s="97"/>
      <c r="O62" s="97"/>
    </row>
    <row r="63" spans="1:15" ht="14.25" thickTop="1" thickBot="1" x14ac:dyDescent="0.25">
      <c r="A63" s="16" t="s">
        <v>117</v>
      </c>
      <c r="B63" t="s">
        <v>118</v>
      </c>
      <c r="C63" s="178">
        <v>0.05</v>
      </c>
      <c r="E63" s="13" t="s">
        <v>29</v>
      </c>
      <c r="F63" s="97">
        <f t="shared" ref="F63:O63" si="18">IF(AND(F$43&gt;=CLT_ConstYr1,F$43&lt;=CLT_ConstYr1+CLT_ConstMonth/12),MIN(12,MAX(0,CLT_ConstMonth-(F$43-CLT_ConstYr1)*12)),0)</f>
        <v>12</v>
      </c>
      <c r="G63" s="97">
        <f t="shared" si="18"/>
        <v>0</v>
      </c>
      <c r="H63" s="97">
        <f t="shared" si="18"/>
        <v>0</v>
      </c>
      <c r="I63" s="97">
        <f t="shared" si="18"/>
        <v>0</v>
      </c>
      <c r="J63" s="97">
        <f t="shared" si="18"/>
        <v>0</v>
      </c>
      <c r="K63" s="97">
        <f t="shared" si="18"/>
        <v>0</v>
      </c>
      <c r="L63" s="97">
        <f t="shared" si="18"/>
        <v>0</v>
      </c>
      <c r="M63" s="97">
        <f t="shared" si="18"/>
        <v>0</v>
      </c>
      <c r="N63" s="97">
        <f t="shared" si="18"/>
        <v>0</v>
      </c>
      <c r="O63" s="97">
        <f t="shared" si="18"/>
        <v>0</v>
      </c>
    </row>
    <row r="64" spans="1:15" ht="14.25" thickTop="1" thickBot="1" x14ac:dyDescent="0.25">
      <c r="A64" s="16" t="s">
        <v>119</v>
      </c>
      <c r="B64" t="s">
        <v>120</v>
      </c>
      <c r="C64" s="180">
        <v>1.5</v>
      </c>
      <c r="E64" s="13" t="s">
        <v>30</v>
      </c>
      <c r="F64" s="99">
        <f t="shared" ref="F64:O64" si="19">CLT_CapX*F63/CLT_ConstMonth</f>
        <v>16700000</v>
      </c>
      <c r="G64" s="99">
        <f t="shared" si="19"/>
        <v>0</v>
      </c>
      <c r="H64" s="99">
        <f t="shared" si="19"/>
        <v>0</v>
      </c>
      <c r="I64" s="99">
        <f t="shared" si="19"/>
        <v>0</v>
      </c>
      <c r="J64" s="99">
        <f t="shared" si="19"/>
        <v>0</v>
      </c>
      <c r="K64" s="99">
        <f t="shared" si="19"/>
        <v>0</v>
      </c>
      <c r="L64" s="99">
        <f t="shared" si="19"/>
        <v>0</v>
      </c>
      <c r="M64" s="99">
        <f t="shared" si="19"/>
        <v>0</v>
      </c>
      <c r="N64" s="99">
        <f t="shared" si="19"/>
        <v>0</v>
      </c>
      <c r="O64" s="99">
        <f t="shared" si="19"/>
        <v>0</v>
      </c>
    </row>
    <row r="65" spans="1:15" ht="13.5" thickTop="1" x14ac:dyDescent="0.2">
      <c r="A65" s="16" t="s">
        <v>122</v>
      </c>
      <c r="C65" s="12">
        <f>C60*(C61*(1+C62))*(C20/2*(1+C63*C64))</f>
        <v>1411776</v>
      </c>
      <c r="F65" s="97"/>
      <c r="G65" s="97"/>
      <c r="H65" s="97"/>
      <c r="I65" s="97"/>
      <c r="J65" s="97"/>
      <c r="K65" s="97"/>
      <c r="L65" s="97"/>
      <c r="M65" s="97"/>
      <c r="N65" s="97"/>
      <c r="O65" s="97"/>
    </row>
    <row r="66" spans="1:15" x14ac:dyDescent="0.2">
      <c r="A66" s="16" t="s">
        <v>89</v>
      </c>
      <c r="C66" s="12">
        <f>C59+C65</f>
        <v>2211776</v>
      </c>
      <c r="E66" s="20" t="s">
        <v>31</v>
      </c>
      <c r="F66" s="97"/>
      <c r="G66" s="97"/>
      <c r="H66" s="97"/>
      <c r="I66" s="97"/>
      <c r="J66" s="97"/>
      <c r="K66" s="97"/>
      <c r="L66" s="97"/>
      <c r="M66" s="97"/>
      <c r="N66" s="97"/>
      <c r="O66" s="97"/>
    </row>
    <row r="67" spans="1:15" x14ac:dyDescent="0.2">
      <c r="C67" s="69"/>
      <c r="E67" s="13" t="s">
        <v>32</v>
      </c>
      <c r="F67" s="99">
        <f t="shared" ref="F67:O67" si="20">F60-F64</f>
        <v>-16700000</v>
      </c>
      <c r="G67" s="99">
        <f t="shared" si="20"/>
        <v>6464298.0000000037</v>
      </c>
      <c r="H67" s="99">
        <f t="shared" si="20"/>
        <v>8619064</v>
      </c>
      <c r="I67" s="99">
        <f t="shared" si="20"/>
        <v>8619064</v>
      </c>
      <c r="J67" s="99">
        <f t="shared" si="20"/>
        <v>8619064</v>
      </c>
      <c r="K67" s="99">
        <f t="shared" si="20"/>
        <v>8619064</v>
      </c>
      <c r="L67" s="99">
        <f t="shared" si="20"/>
        <v>8619064</v>
      </c>
      <c r="M67" s="99">
        <f t="shared" si="20"/>
        <v>8619064</v>
      </c>
      <c r="N67" s="99">
        <f t="shared" si="20"/>
        <v>8619064</v>
      </c>
      <c r="O67" s="99">
        <f t="shared" si="20"/>
        <v>8619064</v>
      </c>
    </row>
    <row r="68" spans="1:15" ht="13.5" thickBot="1" x14ac:dyDescent="0.25">
      <c r="A68" s="15" t="s">
        <v>67</v>
      </c>
      <c r="E68" s="13" t="s">
        <v>33</v>
      </c>
      <c r="F68" s="99">
        <f>F67</f>
        <v>-16700000</v>
      </c>
      <c r="G68" s="99">
        <f>F68+G67</f>
        <v>-10235701.999999996</v>
      </c>
      <c r="H68" s="99">
        <f t="shared" ref="H68:O68" si="21">G68+H67</f>
        <v>-1616637.9999999963</v>
      </c>
      <c r="I68" s="99">
        <f t="shared" si="21"/>
        <v>7002426.0000000037</v>
      </c>
      <c r="J68" s="99">
        <f t="shared" si="21"/>
        <v>15621490.000000004</v>
      </c>
      <c r="K68" s="99">
        <f t="shared" si="21"/>
        <v>24240554.000000004</v>
      </c>
      <c r="L68" s="99">
        <f t="shared" si="21"/>
        <v>32859618.000000004</v>
      </c>
      <c r="M68" s="99">
        <f t="shared" si="21"/>
        <v>41478682</v>
      </c>
      <c r="N68" s="99">
        <f t="shared" si="21"/>
        <v>50097746</v>
      </c>
      <c r="O68" s="99">
        <f t="shared" si="21"/>
        <v>58716810</v>
      </c>
    </row>
    <row r="69" spans="1:15" ht="14.25" thickTop="1" thickBot="1" x14ac:dyDescent="0.25">
      <c r="A69" s="16" t="s">
        <v>123</v>
      </c>
      <c r="B69" t="s">
        <v>124</v>
      </c>
      <c r="C69" s="182">
        <f>504000/4200</f>
        <v>120</v>
      </c>
      <c r="J69" s="82"/>
    </row>
    <row r="70" spans="1:15" ht="14.25" thickTop="1" thickBot="1" x14ac:dyDescent="0.25">
      <c r="A70" s="18" t="s">
        <v>125</v>
      </c>
      <c r="B70" t="s">
        <v>124</v>
      </c>
      <c r="C70" s="182">
        <f>357000/4200</f>
        <v>85</v>
      </c>
      <c r="E70" s="83" t="s">
        <v>169</v>
      </c>
      <c r="H70" s="82"/>
      <c r="J70" s="82"/>
    </row>
    <row r="71" spans="1:15" ht="14.25" thickTop="1" thickBot="1" x14ac:dyDescent="0.25">
      <c r="A71" s="16" t="s">
        <v>126</v>
      </c>
      <c r="B71" t="s">
        <v>127</v>
      </c>
      <c r="C71" s="179">
        <v>400000</v>
      </c>
      <c r="E71" t="s">
        <v>170</v>
      </c>
      <c r="F71">
        <f>IF(CLT_OCF&lt;0,"n/a",MATCH(0,$F$68:$O$68,1)+FLOOR(IF(O68&lt;0,(-1)*O68/O67,0),1))</f>
        <v>3</v>
      </c>
      <c r="H71" s="82"/>
    </row>
    <row r="72" spans="1:15" ht="13.5" thickTop="1" x14ac:dyDescent="0.2">
      <c r="A72" s="16" t="s">
        <v>128</v>
      </c>
      <c r="C72" s="12"/>
      <c r="E72" t="s">
        <v>171</v>
      </c>
      <c r="F72">
        <f ca="1">IF(OSB_OCF&lt;0,"n/a",CEILING(12*IF(O68&gt;0,OFFSET(F68,0,F71-1)/(OFFSET(F68,0,F71-1)-OFFSET(F68,0,F71)),((-O68/O67)-FLOOR(-O68/O67,1))),1))</f>
        <v>3</v>
      </c>
    </row>
    <row r="73" spans="1:15" x14ac:dyDescent="0.2">
      <c r="A73" s="16"/>
      <c r="E73" t="s">
        <v>172</v>
      </c>
      <c r="F73">
        <f ca="1">IF(CLT_OCF&lt;0,"n/a",IF(CLT_OpYr1&gt;MAX(modelYears),"n/a",12*F71+F72))</f>
        <v>39</v>
      </c>
    </row>
    <row r="74" spans="1:15" ht="13.5" thickBot="1" x14ac:dyDescent="0.25">
      <c r="A74" s="41" t="s">
        <v>23</v>
      </c>
      <c r="E74" t="s">
        <v>173</v>
      </c>
      <c r="F74">
        <f>IF(CLT_OCF&lt;0,"n/a",IF(CLT_OpYr1&gt;MAX(modelYears),"n/a",F43+F71))</f>
        <v>2020</v>
      </c>
    </row>
    <row r="75" spans="1:15" ht="14.25" thickTop="1" thickBot="1" x14ac:dyDescent="0.25">
      <c r="A75" s="13" t="s">
        <v>129</v>
      </c>
      <c r="B75" t="s">
        <v>260</v>
      </c>
      <c r="C75" s="182">
        <v>21</v>
      </c>
    </row>
    <row r="76" spans="1:15" ht="13.5" thickTop="1" x14ac:dyDescent="0.2">
      <c r="E76" t="s">
        <v>255</v>
      </c>
      <c r="F76" s="137">
        <f>NPV(HurdleRate,F67:O67,CLT_OCF*TVmult)</f>
        <v>58371581.392561913</v>
      </c>
    </row>
    <row r="77" spans="1:15" x14ac:dyDescent="0.2">
      <c r="E77" t="s">
        <v>254</v>
      </c>
      <c r="F77" s="138">
        <f>CLT_OCF/CLT_CapX</f>
        <v>0.51611161676646711</v>
      </c>
    </row>
  </sheetData>
  <dataConsolidate/>
  <conditionalFormatting sqref="G15:O15">
    <cfRule type="cellIs" dxfId="1" priority="1" operator="greaterThan">
      <formula>1</formula>
    </cfRule>
  </conditionalFormatting>
  <dataValidations count="1">
    <dataValidation type="list" allowBlank="1" showInputMessage="1" showErrorMessage="1" sqref="C39 C16">
      <formula1>modelYears</formula1>
    </dataValidation>
  </dataValidations>
  <pageMargins left="0.7" right="0.7" top="0.75" bottom="0.75" header="0.3" footer="0.3"/>
  <pageSetup scale="40" orientation="landscape" horizontalDpi="4294967292" verticalDpi="4294967292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8" tint="-0.249977111117893"/>
    <pageSetUpPr fitToPage="1"/>
  </sheetPr>
  <dimension ref="A1:R98"/>
  <sheetViews>
    <sheetView zoomScale="60" zoomScaleNormal="60" zoomScalePageLayoutView="125" workbookViewId="0">
      <pane ySplit="8" topLeftCell="A27" activePane="bottomLeft" state="frozen"/>
      <selection pane="bottomLeft" activeCell="B96" sqref="B96"/>
    </sheetView>
  </sheetViews>
  <sheetFormatPr defaultColWidth="8.7109375" defaultRowHeight="12.75" x14ac:dyDescent="0.2"/>
  <cols>
    <col min="1" max="1" width="29.28515625" customWidth="1"/>
    <col min="2" max="2" width="39.85546875" customWidth="1"/>
    <col min="3" max="3" width="14.28515625" bestFit="1" customWidth="1"/>
    <col min="4" max="4" width="17.140625" customWidth="1"/>
    <col min="5" max="5" width="3.42578125" customWidth="1"/>
    <col min="6" max="6" width="33.140625" customWidth="1"/>
    <col min="7" max="16" width="18.7109375" style="230" customWidth="1"/>
  </cols>
  <sheetData>
    <row r="1" spans="1:16" s="48" customFormat="1" x14ac:dyDescent="0.2">
      <c r="A1" s="50" t="str">
        <f>doctitle</f>
        <v>High-Level Feasibility Model</v>
      </c>
      <c r="B1" s="47"/>
      <c r="C1" s="47"/>
      <c r="D1" s="130" t="s">
        <v>224</v>
      </c>
      <c r="G1" s="228"/>
      <c r="H1" s="228"/>
      <c r="I1" s="228"/>
      <c r="J1" s="228"/>
      <c r="K1" s="228"/>
      <c r="L1" s="228"/>
      <c r="M1" s="228"/>
      <c r="N1" s="228"/>
      <c r="O1" s="228"/>
      <c r="P1" s="130" t="s">
        <v>224</v>
      </c>
    </row>
    <row r="2" spans="1:16" s="48" customFormat="1" x14ac:dyDescent="0.2">
      <c r="A2" s="50" t="str">
        <f>docclient</f>
        <v>National Forest Foundation</v>
      </c>
      <c r="B2" s="47"/>
      <c r="C2" s="47"/>
      <c r="G2" s="228"/>
      <c r="H2" s="228"/>
      <c r="I2" s="228"/>
      <c r="J2" s="228"/>
      <c r="K2" s="228"/>
      <c r="L2" s="228"/>
      <c r="M2" s="228"/>
      <c r="N2" s="228"/>
      <c r="O2" s="228"/>
      <c r="P2" s="228"/>
    </row>
    <row r="3" spans="1:16" s="48" customFormat="1" x14ac:dyDescent="0.2">
      <c r="A3" s="50" t="str">
        <f>docproject</f>
        <v>California Assessment of Wood Business Innovation Opportunities and Markets</v>
      </c>
      <c r="B3" s="47"/>
      <c r="C3" s="47"/>
      <c r="G3" s="228"/>
      <c r="H3" s="228"/>
      <c r="I3" s="228"/>
      <c r="J3" s="228"/>
      <c r="K3" s="228"/>
      <c r="L3" s="228"/>
      <c r="M3" s="228"/>
      <c r="N3" s="228"/>
      <c r="O3" s="228"/>
      <c r="P3" s="228"/>
    </row>
    <row r="4" spans="1:16" s="48" customFormat="1" x14ac:dyDescent="0.2">
      <c r="A4" s="49" t="str">
        <f>docversion</f>
        <v>Final Draft - December 31, 2015</v>
      </c>
      <c r="B4" s="49"/>
      <c r="C4" s="49"/>
      <c r="G4" s="228"/>
      <c r="H4" s="228"/>
      <c r="I4" s="228"/>
      <c r="J4" s="228"/>
      <c r="K4" s="228"/>
      <c r="L4" s="228"/>
      <c r="M4" s="228"/>
      <c r="N4" s="228"/>
      <c r="O4" s="228"/>
      <c r="P4" s="228"/>
    </row>
    <row r="5" spans="1:16" s="7" customFormat="1" x14ac:dyDescent="0.2">
      <c r="A5" s="6"/>
      <c r="B5" s="6"/>
      <c r="C5" s="6"/>
      <c r="G5" s="229"/>
      <c r="H5" s="229"/>
      <c r="I5" s="229"/>
      <c r="J5" s="229"/>
      <c r="K5" s="229"/>
      <c r="L5" s="229"/>
      <c r="M5" s="229"/>
      <c r="N5" s="229"/>
      <c r="O5" s="229"/>
      <c r="P5" s="229"/>
    </row>
    <row r="6" spans="1:16" s="7" customFormat="1" ht="15.75" x14ac:dyDescent="0.25">
      <c r="A6" s="54" t="s">
        <v>182</v>
      </c>
      <c r="B6" s="8"/>
      <c r="C6" s="8"/>
      <c r="G6" s="229"/>
      <c r="H6" s="229"/>
      <c r="I6" s="229"/>
      <c r="J6" s="229"/>
      <c r="K6" s="229"/>
      <c r="L6" s="229"/>
      <c r="M6" s="229"/>
      <c r="N6" s="229"/>
      <c r="O6" s="229"/>
      <c r="P6" s="229"/>
    </row>
    <row r="8" spans="1:16" x14ac:dyDescent="0.2">
      <c r="A8" s="52" t="s">
        <v>3</v>
      </c>
      <c r="B8" s="52"/>
      <c r="C8" s="52"/>
      <c r="D8" s="52"/>
      <c r="F8" s="52" t="s">
        <v>5</v>
      </c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x14ac:dyDescent="0.2">
      <c r="A9" s="53" t="s">
        <v>44</v>
      </c>
      <c r="B9" s="5"/>
      <c r="C9" s="5"/>
    </row>
    <row r="10" spans="1:16" x14ac:dyDescent="0.2">
      <c r="A10" s="53" t="s">
        <v>187</v>
      </c>
      <c r="F10" s="113" t="s">
        <v>180</v>
      </c>
      <c r="G10" s="231"/>
      <c r="H10" s="231"/>
      <c r="I10" s="231"/>
      <c r="J10" s="231"/>
      <c r="K10" s="231"/>
      <c r="L10" s="231"/>
      <c r="M10" s="231"/>
      <c r="N10" s="231"/>
      <c r="O10" s="231"/>
      <c r="P10" s="231"/>
    </row>
    <row r="11" spans="1:16" x14ac:dyDescent="0.2">
      <c r="F11" s="108"/>
      <c r="G11" s="231"/>
      <c r="H11" s="231"/>
      <c r="I11" s="231"/>
      <c r="J11" s="231"/>
      <c r="K11" s="231"/>
      <c r="L11" s="231"/>
      <c r="M11" s="231"/>
      <c r="N11" s="231"/>
      <c r="O11" s="231"/>
      <c r="P11" s="231"/>
    </row>
    <row r="12" spans="1:16" ht="13.5" thickBot="1" x14ac:dyDescent="0.25">
      <c r="A12" s="105" t="s">
        <v>7</v>
      </c>
      <c r="B12" s="51" t="s">
        <v>35</v>
      </c>
      <c r="C12" s="51"/>
      <c r="D12" s="64" t="s">
        <v>97</v>
      </c>
      <c r="F12" s="108"/>
      <c r="G12" s="232">
        <f>G44</f>
        <v>2017</v>
      </c>
      <c r="H12" s="232">
        <f t="shared" ref="H12:P12" si="0">H44</f>
        <v>2018</v>
      </c>
      <c r="I12" s="232">
        <f t="shared" si="0"/>
        <v>2019</v>
      </c>
      <c r="J12" s="232">
        <f t="shared" si="0"/>
        <v>2020</v>
      </c>
      <c r="K12" s="232">
        <f t="shared" si="0"/>
        <v>2021</v>
      </c>
      <c r="L12" s="232">
        <f t="shared" si="0"/>
        <v>2022</v>
      </c>
      <c r="M12" s="232">
        <f t="shared" si="0"/>
        <v>2023</v>
      </c>
      <c r="N12" s="232">
        <f t="shared" si="0"/>
        <v>2024</v>
      </c>
      <c r="O12" s="232">
        <f t="shared" si="0"/>
        <v>2025</v>
      </c>
      <c r="P12" s="232">
        <f t="shared" si="0"/>
        <v>2026</v>
      </c>
    </row>
    <row r="13" spans="1:16" ht="14.25" thickTop="1" thickBot="1" x14ac:dyDescent="0.25">
      <c r="A13" s="13" t="s">
        <v>183</v>
      </c>
      <c r="B13" t="s">
        <v>168</v>
      </c>
      <c r="D13" s="184">
        <v>3000</v>
      </c>
      <c r="F13" s="108" t="s">
        <v>167</v>
      </c>
      <c r="G13" s="233">
        <f>GV_MktBase*(1+GV_Growth)</f>
        <v>512.5</v>
      </c>
      <c r="H13" s="233">
        <f t="shared" ref="H13:P13" si="1">G13*(1+GV_Growth)</f>
        <v>525.3125</v>
      </c>
      <c r="I13" s="233">
        <f t="shared" si="1"/>
        <v>538.4453125</v>
      </c>
      <c r="J13" s="233">
        <f t="shared" si="1"/>
        <v>551.90644531249995</v>
      </c>
      <c r="K13" s="233">
        <f t="shared" si="1"/>
        <v>565.70410644531239</v>
      </c>
      <c r="L13" s="233">
        <f t="shared" si="1"/>
        <v>579.84670910644513</v>
      </c>
      <c r="M13" s="233">
        <f t="shared" si="1"/>
        <v>594.34287683410616</v>
      </c>
      <c r="N13" s="233">
        <f t="shared" si="1"/>
        <v>609.20144875495873</v>
      </c>
      <c r="O13" s="233">
        <f t="shared" si="1"/>
        <v>624.43148497383265</v>
      </c>
      <c r="P13" s="233">
        <f t="shared" si="1"/>
        <v>640.04227209817839</v>
      </c>
    </row>
    <row r="14" spans="1:16" ht="16.5" thickTop="1" thickBot="1" x14ac:dyDescent="0.25">
      <c r="A14" s="13" t="s">
        <v>184</v>
      </c>
      <c r="B14" s="65" t="s">
        <v>247</v>
      </c>
      <c r="C14" s="65"/>
      <c r="D14" s="184">
        <v>1000</v>
      </c>
      <c r="F14" s="108" t="s">
        <v>166</v>
      </c>
      <c r="G14" s="234">
        <f t="shared" ref="G14:P14" si="2">IF(G$44&lt;GV_OpYr1,0,IF(G$44=GV_OpYr1,GV_OpYr1Pct,1))*(GV_Output)/1000</f>
        <v>0</v>
      </c>
      <c r="H14" s="234">
        <f t="shared" si="2"/>
        <v>85</v>
      </c>
      <c r="I14" s="234">
        <f t="shared" si="2"/>
        <v>170</v>
      </c>
      <c r="J14" s="234">
        <f t="shared" si="2"/>
        <v>170</v>
      </c>
      <c r="K14" s="234">
        <f t="shared" si="2"/>
        <v>170</v>
      </c>
      <c r="L14" s="234">
        <f t="shared" si="2"/>
        <v>170</v>
      </c>
      <c r="M14" s="234">
        <f t="shared" si="2"/>
        <v>170</v>
      </c>
      <c r="N14" s="234">
        <f t="shared" si="2"/>
        <v>170</v>
      </c>
      <c r="O14" s="234">
        <f t="shared" si="2"/>
        <v>170</v>
      </c>
      <c r="P14" s="234">
        <f t="shared" si="2"/>
        <v>170</v>
      </c>
    </row>
    <row r="15" spans="1:16" ht="14.25" thickTop="1" thickBot="1" x14ac:dyDescent="0.25">
      <c r="A15" s="13" t="s">
        <v>185</v>
      </c>
      <c r="B15" s="65" t="s">
        <v>248</v>
      </c>
      <c r="C15" s="65"/>
      <c r="D15" s="184">
        <v>500</v>
      </c>
      <c r="F15" s="108" t="s">
        <v>150</v>
      </c>
      <c r="G15" s="235">
        <f t="shared" ref="G15:P15" si="3">IFERROR(G14/G13,"")</f>
        <v>0</v>
      </c>
      <c r="H15" s="235">
        <f t="shared" si="3"/>
        <v>0.1618084473527662</v>
      </c>
      <c r="I15" s="235">
        <f t="shared" si="3"/>
        <v>0.31572379971271458</v>
      </c>
      <c r="J15" s="235">
        <f t="shared" si="3"/>
        <v>0.30802321923191667</v>
      </c>
      <c r="K15" s="235">
        <f t="shared" si="3"/>
        <v>0.30051045778723579</v>
      </c>
      <c r="L15" s="235">
        <f t="shared" si="3"/>
        <v>0.29318093442657156</v>
      </c>
      <c r="M15" s="235">
        <f t="shared" si="3"/>
        <v>0.28603017992836255</v>
      </c>
      <c r="N15" s="235">
        <f t="shared" si="3"/>
        <v>0.27905383407645129</v>
      </c>
      <c r="O15" s="235">
        <f t="shared" si="3"/>
        <v>0.27224764300141591</v>
      </c>
      <c r="P15" s="235">
        <f t="shared" si="3"/>
        <v>0.26560745658674728</v>
      </c>
    </row>
    <row r="16" spans="1:16" ht="14.25" thickTop="1" thickBot="1" x14ac:dyDescent="0.25">
      <c r="A16" s="13" t="s">
        <v>8</v>
      </c>
      <c r="B16" s="65" t="s">
        <v>186</v>
      </c>
      <c r="C16" s="65"/>
      <c r="D16" s="10">
        <f>D14-D15</f>
        <v>500</v>
      </c>
    </row>
    <row r="17" spans="1:4" ht="14.25" thickTop="1" thickBot="1" x14ac:dyDescent="0.25">
      <c r="A17" s="13" t="s">
        <v>164</v>
      </c>
      <c r="B17" s="24" t="s">
        <v>165</v>
      </c>
      <c r="C17" s="24"/>
      <c r="D17" s="185">
        <v>2.5000000000000001E-2</v>
      </c>
    </row>
    <row r="18" spans="1:4" ht="13.5" thickTop="1" x14ac:dyDescent="0.2"/>
    <row r="19" spans="1:4" ht="13.5" thickBot="1" x14ac:dyDescent="0.25">
      <c r="A19" s="51" t="s">
        <v>19</v>
      </c>
      <c r="D19" s="13"/>
    </row>
    <row r="20" spans="1:4" ht="14.25" thickTop="1" thickBot="1" x14ac:dyDescent="0.25">
      <c r="A20" s="14" t="s">
        <v>20</v>
      </c>
      <c r="B20" t="s">
        <v>249</v>
      </c>
      <c r="D20" s="186">
        <v>42.5</v>
      </c>
    </row>
    <row r="21" spans="1:4" ht="14.25" thickTop="1" thickBot="1" x14ac:dyDescent="0.25">
      <c r="A21" s="14" t="s">
        <v>103</v>
      </c>
      <c r="B21" t="s">
        <v>104</v>
      </c>
      <c r="D21" s="184">
        <f>50*80</f>
        <v>4000</v>
      </c>
    </row>
    <row r="22" spans="1:4" ht="14.25" thickTop="1" thickBot="1" x14ac:dyDescent="0.25">
      <c r="A22" s="14" t="s">
        <v>105</v>
      </c>
      <c r="B22" t="s">
        <v>106</v>
      </c>
      <c r="D22" s="185">
        <v>0</v>
      </c>
    </row>
    <row r="23" spans="1:4" ht="13.5" thickTop="1" x14ac:dyDescent="0.2">
      <c r="A23" s="14" t="s">
        <v>87</v>
      </c>
      <c r="D23" s="10">
        <f>D21*(1+D22)</f>
        <v>4000</v>
      </c>
    </row>
    <row r="24" spans="1:4" x14ac:dyDescent="0.2">
      <c r="A24" s="14" t="s">
        <v>132</v>
      </c>
      <c r="B24" t="s">
        <v>188</v>
      </c>
      <c r="D24" s="10">
        <f>D20*D23</f>
        <v>170000</v>
      </c>
    </row>
    <row r="25" spans="1:4" x14ac:dyDescent="0.2">
      <c r="D25" s="10"/>
    </row>
    <row r="26" spans="1:4" x14ac:dyDescent="0.2">
      <c r="B26" s="203"/>
      <c r="C26" s="203"/>
      <c r="D26" s="203"/>
    </row>
    <row r="27" spans="1:4" x14ac:dyDescent="0.2">
      <c r="A27" s="51" t="s">
        <v>281</v>
      </c>
      <c r="B27" s="203"/>
      <c r="C27" s="203"/>
      <c r="D27" s="220"/>
    </row>
    <row r="28" spans="1:4" ht="13.5" thickBot="1" x14ac:dyDescent="0.25">
      <c r="A28" s="14" t="s">
        <v>256</v>
      </c>
      <c r="B28" t="s">
        <v>257</v>
      </c>
      <c r="D28" s="219">
        <v>3.4</v>
      </c>
    </row>
    <row r="29" spans="1:4" ht="13.5" thickTop="1" x14ac:dyDescent="0.2">
      <c r="A29" s="14"/>
      <c r="D29" s="10"/>
    </row>
    <row r="31" spans="1:4" ht="13.5" thickBot="1" x14ac:dyDescent="0.25">
      <c r="A31" s="51" t="s">
        <v>14</v>
      </c>
      <c r="B31" s="57"/>
      <c r="C31" s="57"/>
    </row>
    <row r="32" spans="1:4" ht="14.25" thickTop="1" thickBot="1" x14ac:dyDescent="0.25">
      <c r="A32" s="13" t="s">
        <v>15</v>
      </c>
      <c r="B32" t="s">
        <v>245</v>
      </c>
      <c r="D32" s="187">
        <f>30000000-20*100000-3000000</f>
        <v>25000000</v>
      </c>
    </row>
    <row r="33" spans="1:16" ht="14.25" thickTop="1" thickBot="1" x14ac:dyDescent="0.25">
      <c r="A33" s="13" t="s">
        <v>236</v>
      </c>
      <c r="B33" t="s">
        <v>250</v>
      </c>
      <c r="D33" s="184">
        <v>20</v>
      </c>
    </row>
    <row r="34" spans="1:16" ht="14.25" thickTop="1" thickBot="1" x14ac:dyDescent="0.25">
      <c r="A34" s="13" t="s">
        <v>55</v>
      </c>
      <c r="B34" t="s">
        <v>56</v>
      </c>
      <c r="D34" s="187">
        <v>100000</v>
      </c>
    </row>
    <row r="35" spans="1:16" ht="14.25" thickTop="1" thickBot="1" x14ac:dyDescent="0.25">
      <c r="A35" s="13" t="s">
        <v>57</v>
      </c>
      <c r="D35" s="12">
        <f>D33*D34</f>
        <v>2000000</v>
      </c>
    </row>
    <row r="36" spans="1:16" ht="14.25" thickTop="1" thickBot="1" x14ac:dyDescent="0.25">
      <c r="A36" s="13" t="s">
        <v>47</v>
      </c>
      <c r="B36" t="s">
        <v>48</v>
      </c>
      <c r="D36" s="187">
        <v>3000000</v>
      </c>
    </row>
    <row r="37" spans="1:16" ht="13.5" thickTop="1" x14ac:dyDescent="0.2">
      <c r="A37" s="13" t="s">
        <v>27</v>
      </c>
      <c r="D37" s="12">
        <f>SUM(D32,D35:D36)</f>
        <v>30000000</v>
      </c>
    </row>
    <row r="39" spans="1:16" ht="13.5" thickBot="1" x14ac:dyDescent="0.25">
      <c r="A39" s="51" t="s">
        <v>62</v>
      </c>
    </row>
    <row r="40" spans="1:16" ht="14.25" thickTop="1" thickBot="1" x14ac:dyDescent="0.25">
      <c r="A40" s="13" t="s">
        <v>28</v>
      </c>
      <c r="D40" s="188">
        <v>2017</v>
      </c>
    </row>
    <row r="41" spans="1:16" ht="14.25" thickTop="1" thickBot="1" x14ac:dyDescent="0.25">
      <c r="A41" s="14" t="s">
        <v>18</v>
      </c>
      <c r="B41" t="s">
        <v>58</v>
      </c>
      <c r="D41" s="184">
        <v>18</v>
      </c>
    </row>
    <row r="42" spans="1:16" ht="14.25" thickTop="1" thickBot="1" x14ac:dyDescent="0.25">
      <c r="A42" s="13" t="s">
        <v>16</v>
      </c>
      <c r="B42" t="s">
        <v>21</v>
      </c>
      <c r="D42" s="58">
        <f>D40+FLOOR(D41/12,1)</f>
        <v>2018</v>
      </c>
    </row>
    <row r="43" spans="1:16" ht="14.25" thickTop="1" thickBot="1" x14ac:dyDescent="0.25">
      <c r="A43" s="13" t="s">
        <v>17</v>
      </c>
      <c r="B43" t="s">
        <v>22</v>
      </c>
      <c r="D43" s="189">
        <v>0.5</v>
      </c>
    </row>
    <row r="44" spans="1:16" ht="14.25" thickTop="1" thickBot="1" x14ac:dyDescent="0.25">
      <c r="G44" s="107">
        <f>modelYear1</f>
        <v>2017</v>
      </c>
      <c r="H44" s="107">
        <f>G44+1</f>
        <v>2018</v>
      </c>
      <c r="I44" s="107">
        <f t="shared" ref="I44:P44" si="4">H44+1</f>
        <v>2019</v>
      </c>
      <c r="J44" s="107">
        <f t="shared" si="4"/>
        <v>2020</v>
      </c>
      <c r="K44" s="107">
        <f t="shared" si="4"/>
        <v>2021</v>
      </c>
      <c r="L44" s="107">
        <f t="shared" si="4"/>
        <v>2022</v>
      </c>
      <c r="M44" s="107">
        <f t="shared" si="4"/>
        <v>2023</v>
      </c>
      <c r="N44" s="107">
        <f t="shared" si="4"/>
        <v>2024</v>
      </c>
      <c r="O44" s="107">
        <f t="shared" si="4"/>
        <v>2025</v>
      </c>
      <c r="P44" s="107">
        <f t="shared" si="4"/>
        <v>2026</v>
      </c>
    </row>
    <row r="45" spans="1:16" ht="13.5" thickTop="1" x14ac:dyDescent="0.2">
      <c r="A45" s="51" t="s">
        <v>64</v>
      </c>
      <c r="F45" s="20" t="s">
        <v>23</v>
      </c>
    </row>
    <row r="46" spans="1:16" ht="15.75" thickBot="1" x14ac:dyDescent="0.4">
      <c r="A46" s="106" t="s">
        <v>135</v>
      </c>
      <c r="B46" s="20" t="s">
        <v>225</v>
      </c>
      <c r="F46" s="13" t="s">
        <v>192</v>
      </c>
      <c r="G46" s="22">
        <f t="shared" ref="G46:P46" si="5">IF(G$44&lt;GV_OpYr1,0,IF(G$44=GV_OpYr1,GV_OpYr1Pct,1))*(GV_Output*GV_RevPerMSF)</f>
        <v>0</v>
      </c>
      <c r="H46" s="22">
        <f t="shared" si="5"/>
        <v>17341700</v>
      </c>
      <c r="I46" s="22">
        <f t="shared" si="5"/>
        <v>34683400</v>
      </c>
      <c r="J46" s="22">
        <f t="shared" si="5"/>
        <v>34683400</v>
      </c>
      <c r="K46" s="22">
        <f t="shared" si="5"/>
        <v>34683400</v>
      </c>
      <c r="L46" s="22">
        <f t="shared" si="5"/>
        <v>34683400</v>
      </c>
      <c r="M46" s="22">
        <f t="shared" si="5"/>
        <v>34683400</v>
      </c>
      <c r="N46" s="22">
        <f t="shared" si="5"/>
        <v>34683400</v>
      </c>
      <c r="O46" s="22">
        <f t="shared" si="5"/>
        <v>34683400</v>
      </c>
      <c r="P46" s="22">
        <f t="shared" si="5"/>
        <v>34683400</v>
      </c>
    </row>
    <row r="47" spans="1:16" ht="14.25" thickTop="1" thickBot="1" x14ac:dyDescent="0.25">
      <c r="A47" s="16" t="s">
        <v>201</v>
      </c>
      <c r="B47" t="s">
        <v>189</v>
      </c>
      <c r="D47" s="190">
        <v>125</v>
      </c>
      <c r="F47" s="15" t="s">
        <v>96</v>
      </c>
      <c r="G47" s="236">
        <f t="shared" ref="G47:P47" si="6">SUM(G46:G46)</f>
        <v>0</v>
      </c>
      <c r="H47" s="236">
        <f t="shared" si="6"/>
        <v>17341700</v>
      </c>
      <c r="I47" s="236">
        <f t="shared" si="6"/>
        <v>34683400</v>
      </c>
      <c r="J47" s="236">
        <f t="shared" si="6"/>
        <v>34683400</v>
      </c>
      <c r="K47" s="236">
        <f t="shared" si="6"/>
        <v>34683400</v>
      </c>
      <c r="L47" s="236">
        <f t="shared" si="6"/>
        <v>34683400</v>
      </c>
      <c r="M47" s="236">
        <f t="shared" si="6"/>
        <v>34683400</v>
      </c>
      <c r="N47" s="236">
        <f t="shared" si="6"/>
        <v>34683400</v>
      </c>
      <c r="O47" s="236">
        <f t="shared" si="6"/>
        <v>34683400</v>
      </c>
      <c r="P47" s="236">
        <f t="shared" si="6"/>
        <v>34683400</v>
      </c>
    </row>
    <row r="48" spans="1:16" ht="13.5" thickTop="1" x14ac:dyDescent="0.2">
      <c r="A48" s="16" t="s">
        <v>201</v>
      </c>
      <c r="B48" t="s">
        <v>258</v>
      </c>
      <c r="D48" s="17">
        <f>D28*D47</f>
        <v>425</v>
      </c>
      <c r="F48" s="20" t="s">
        <v>24</v>
      </c>
    </row>
    <row r="49" spans="1:16" x14ac:dyDescent="0.2">
      <c r="A49" s="16" t="s">
        <v>138</v>
      </c>
      <c r="D49" s="12">
        <f>GV_Output*D47</f>
        <v>21250000</v>
      </c>
      <c r="F49" s="9" t="s">
        <v>140</v>
      </c>
    </row>
    <row r="50" spans="1:16" ht="13.5" thickBot="1" x14ac:dyDescent="0.25">
      <c r="A50" s="106" t="s">
        <v>136</v>
      </c>
      <c r="F50" s="16" t="s">
        <v>135</v>
      </c>
      <c r="G50" s="79">
        <f t="shared" ref="G50:P50" si="7">IF(G$44&lt;GV_OpYr1,0,IF(G$44=GV_OpYr1,GV_OpYr1Pct,1))*GV_RawMaterialsCost</f>
        <v>0</v>
      </c>
      <c r="H50" s="79">
        <f t="shared" si="7"/>
        <v>10625000</v>
      </c>
      <c r="I50" s="79">
        <f t="shared" si="7"/>
        <v>21250000</v>
      </c>
      <c r="J50" s="79">
        <f t="shared" si="7"/>
        <v>21250000</v>
      </c>
      <c r="K50" s="79">
        <f t="shared" si="7"/>
        <v>21250000</v>
      </c>
      <c r="L50" s="79">
        <f t="shared" si="7"/>
        <v>21250000</v>
      </c>
      <c r="M50" s="79">
        <f t="shared" si="7"/>
        <v>21250000</v>
      </c>
      <c r="N50" s="79">
        <f t="shared" si="7"/>
        <v>21250000</v>
      </c>
      <c r="O50" s="79">
        <f t="shared" si="7"/>
        <v>21250000</v>
      </c>
      <c r="P50" s="79">
        <f t="shared" si="7"/>
        <v>21250000</v>
      </c>
    </row>
    <row r="51" spans="1:16" ht="14.25" thickTop="1" thickBot="1" x14ac:dyDescent="0.25">
      <c r="A51" s="16"/>
      <c r="D51" s="190"/>
      <c r="F51" s="16" t="s">
        <v>136</v>
      </c>
      <c r="G51" s="79">
        <f t="shared" ref="G51:P51" si="8">IF(G$44&lt;GV_OpYr1,0,IF(G$44=GV_OpYr1,GV_OpYr1Pct,1))*GV_AnnualCOGS</f>
        <v>0</v>
      </c>
      <c r="H51" s="79">
        <f t="shared" si="8"/>
        <v>0</v>
      </c>
      <c r="I51" s="79">
        <f t="shared" si="8"/>
        <v>0</v>
      </c>
      <c r="J51" s="79">
        <f t="shared" si="8"/>
        <v>0</v>
      </c>
      <c r="K51" s="79">
        <f t="shared" si="8"/>
        <v>0</v>
      </c>
      <c r="L51" s="79">
        <f t="shared" si="8"/>
        <v>0</v>
      </c>
      <c r="M51" s="79">
        <f t="shared" si="8"/>
        <v>0</v>
      </c>
      <c r="N51" s="79">
        <f t="shared" si="8"/>
        <v>0</v>
      </c>
      <c r="O51" s="79">
        <f t="shared" si="8"/>
        <v>0</v>
      </c>
      <c r="P51" s="79">
        <f t="shared" si="8"/>
        <v>0</v>
      </c>
    </row>
    <row r="52" spans="1:16" ht="14.25" thickTop="1" thickBot="1" x14ac:dyDescent="0.25">
      <c r="A52" s="16"/>
      <c r="D52" s="190"/>
      <c r="F52" s="16" t="s">
        <v>141</v>
      </c>
      <c r="G52" s="79">
        <f t="shared" ref="G52:P52" si="9">IF(G$44&lt;GV_OpYr1,0,IF(G$44=GV_OpYr1,GV_OpYr1Pct,1))*GV_AnnualHourlyLabor</f>
        <v>0</v>
      </c>
      <c r="H52" s="79">
        <f t="shared" si="9"/>
        <v>1470600</v>
      </c>
      <c r="I52" s="79">
        <f t="shared" si="9"/>
        <v>2941200</v>
      </c>
      <c r="J52" s="79">
        <f t="shared" si="9"/>
        <v>2941200</v>
      </c>
      <c r="K52" s="79">
        <f t="shared" si="9"/>
        <v>2941200</v>
      </c>
      <c r="L52" s="79">
        <f t="shared" si="9"/>
        <v>2941200</v>
      </c>
      <c r="M52" s="79">
        <f t="shared" si="9"/>
        <v>2941200</v>
      </c>
      <c r="N52" s="79">
        <f t="shared" si="9"/>
        <v>2941200</v>
      </c>
      <c r="O52" s="79">
        <f t="shared" si="9"/>
        <v>2941200</v>
      </c>
      <c r="P52" s="79">
        <f t="shared" si="9"/>
        <v>2941200</v>
      </c>
    </row>
    <row r="53" spans="1:16" ht="13.5" thickTop="1" x14ac:dyDescent="0.2">
      <c r="A53" s="16" t="s">
        <v>137</v>
      </c>
      <c r="B53" t="s">
        <v>259</v>
      </c>
      <c r="D53" s="17">
        <f>SUM(D51:D52)</f>
        <v>0</v>
      </c>
      <c r="F53" s="16" t="s">
        <v>157</v>
      </c>
      <c r="G53" s="79">
        <f t="shared" ref="G53:P53" si="10">IF(G$44&lt;GV_OpYr1,0,IF(G$44=GV_OpYr1,GV_OpYr1Pct,1))*GV_SuppliesPerMSF*GV_Output</f>
        <v>0</v>
      </c>
      <c r="H53" s="79">
        <f t="shared" si="10"/>
        <v>688925</v>
      </c>
      <c r="I53" s="79">
        <f t="shared" si="10"/>
        <v>1377850</v>
      </c>
      <c r="J53" s="79">
        <f t="shared" si="10"/>
        <v>1377850</v>
      </c>
      <c r="K53" s="79">
        <f t="shared" si="10"/>
        <v>1377850</v>
      </c>
      <c r="L53" s="79">
        <f t="shared" si="10"/>
        <v>1377850</v>
      </c>
      <c r="M53" s="79">
        <f t="shared" si="10"/>
        <v>1377850</v>
      </c>
      <c r="N53" s="79">
        <f t="shared" si="10"/>
        <v>1377850</v>
      </c>
      <c r="O53" s="79">
        <f t="shared" si="10"/>
        <v>1377850</v>
      </c>
      <c r="P53" s="79">
        <f t="shared" si="10"/>
        <v>1377850</v>
      </c>
    </row>
    <row r="54" spans="1:16" x14ac:dyDescent="0.2">
      <c r="A54" s="16" t="s">
        <v>139</v>
      </c>
      <c r="D54" s="12">
        <f>D24*D53</f>
        <v>0</v>
      </c>
      <c r="F54" s="16" t="s">
        <v>110</v>
      </c>
      <c r="G54" s="79">
        <f t="shared" ref="G54:P54" si="11">IF(G$44&lt;GV_OpYr1,0,IF(G$44=GV_OpYr1,GV_OpYr1Pct,1))*GV_UtilitiesPerMSF*GV_Output</f>
        <v>0</v>
      </c>
      <c r="H54" s="79">
        <f t="shared" si="11"/>
        <v>512082.5</v>
      </c>
      <c r="I54" s="79">
        <f t="shared" si="11"/>
        <v>1024165</v>
      </c>
      <c r="J54" s="79">
        <f t="shared" si="11"/>
        <v>1024165</v>
      </c>
      <c r="K54" s="79">
        <f t="shared" si="11"/>
        <v>1024165</v>
      </c>
      <c r="L54" s="79">
        <f t="shared" si="11"/>
        <v>1024165</v>
      </c>
      <c r="M54" s="79">
        <f t="shared" si="11"/>
        <v>1024165</v>
      </c>
      <c r="N54" s="79">
        <f t="shared" si="11"/>
        <v>1024165</v>
      </c>
      <c r="O54" s="79">
        <f t="shared" si="11"/>
        <v>1024165</v>
      </c>
      <c r="P54" s="79">
        <f t="shared" si="11"/>
        <v>1024165</v>
      </c>
    </row>
    <row r="55" spans="1:16" x14ac:dyDescent="0.2">
      <c r="A55" s="16"/>
      <c r="F55" s="16" t="s">
        <v>94</v>
      </c>
      <c r="G55" s="79">
        <f t="shared" ref="G55:P55" si="12">IF(G$44&lt;GV_OpYr1,0,IF(G$44=GV_OpYr1,GV_OpYr1Pct,1))*GV_MaintPerMSF*GV_Output</f>
        <v>0</v>
      </c>
      <c r="H55" s="79">
        <f t="shared" si="12"/>
        <v>368262.49999999994</v>
      </c>
      <c r="I55" s="79">
        <f t="shared" si="12"/>
        <v>736524.99999999988</v>
      </c>
      <c r="J55" s="79">
        <f t="shared" si="12"/>
        <v>736524.99999999988</v>
      </c>
      <c r="K55" s="79">
        <f t="shared" si="12"/>
        <v>736524.99999999988</v>
      </c>
      <c r="L55" s="79">
        <f t="shared" si="12"/>
        <v>736524.99999999988</v>
      </c>
      <c r="M55" s="79">
        <f t="shared" si="12"/>
        <v>736524.99999999988</v>
      </c>
      <c r="N55" s="79">
        <f t="shared" si="12"/>
        <v>736524.99999999988</v>
      </c>
      <c r="O55" s="79">
        <f t="shared" si="12"/>
        <v>736524.99999999988</v>
      </c>
      <c r="P55" s="79">
        <f t="shared" si="12"/>
        <v>736524.99999999988</v>
      </c>
    </row>
    <row r="56" spans="1:16" ht="15.75" thickBot="1" x14ac:dyDescent="0.4">
      <c r="A56" s="106" t="s">
        <v>65</v>
      </c>
      <c r="F56" s="16" t="s">
        <v>67</v>
      </c>
      <c r="G56" s="22">
        <f t="shared" ref="G56:P56" si="13">IF(G$44&lt;GV_OpYr1,0,IF(G$44=GV_OpYr1,GV_OpYr1Pct,1))*GV_OtherPerMSF</f>
        <v>0</v>
      </c>
      <c r="H56" s="22">
        <f t="shared" si="13"/>
        <v>150000</v>
      </c>
      <c r="I56" s="22">
        <f t="shared" si="13"/>
        <v>300000</v>
      </c>
      <c r="J56" s="22">
        <f t="shared" si="13"/>
        <v>300000</v>
      </c>
      <c r="K56" s="22">
        <f t="shared" si="13"/>
        <v>300000</v>
      </c>
      <c r="L56" s="22">
        <f t="shared" si="13"/>
        <v>300000</v>
      </c>
      <c r="M56" s="22">
        <f t="shared" si="13"/>
        <v>300000</v>
      </c>
      <c r="N56" s="22">
        <f t="shared" si="13"/>
        <v>300000</v>
      </c>
      <c r="O56" s="22">
        <f t="shared" si="13"/>
        <v>300000</v>
      </c>
      <c r="P56" s="22">
        <f t="shared" si="13"/>
        <v>300000</v>
      </c>
    </row>
    <row r="57" spans="1:16" ht="14.25" thickTop="1" thickBot="1" x14ac:dyDescent="0.25">
      <c r="A57" s="68" t="s">
        <v>112</v>
      </c>
      <c r="B57" t="s">
        <v>77</v>
      </c>
      <c r="D57" s="191">
        <v>14</v>
      </c>
      <c r="F57" s="67" t="s">
        <v>143</v>
      </c>
      <c r="G57" s="236">
        <f t="shared" ref="G57:P57" si="14">SUM(G50:G56)</f>
        <v>0</v>
      </c>
      <c r="H57" s="236">
        <f t="shared" si="14"/>
        <v>13814870</v>
      </c>
      <c r="I57" s="236">
        <f t="shared" si="14"/>
        <v>27629740</v>
      </c>
      <c r="J57" s="236">
        <f t="shared" si="14"/>
        <v>27629740</v>
      </c>
      <c r="K57" s="236">
        <f t="shared" si="14"/>
        <v>27629740</v>
      </c>
      <c r="L57" s="236">
        <f t="shared" si="14"/>
        <v>27629740</v>
      </c>
      <c r="M57" s="236">
        <f t="shared" si="14"/>
        <v>27629740</v>
      </c>
      <c r="N57" s="236">
        <f t="shared" si="14"/>
        <v>27629740</v>
      </c>
      <c r="O57" s="236">
        <f t="shared" si="14"/>
        <v>27629740</v>
      </c>
      <c r="P57" s="236">
        <f t="shared" si="14"/>
        <v>27629740</v>
      </c>
    </row>
    <row r="58" spans="1:16" ht="14.25" thickTop="1" thickBot="1" x14ac:dyDescent="0.25">
      <c r="A58" s="16" t="s">
        <v>78</v>
      </c>
      <c r="B58" t="s">
        <v>81</v>
      </c>
      <c r="D58" s="187">
        <v>85000</v>
      </c>
      <c r="F58" s="71" t="s">
        <v>144</v>
      </c>
    </row>
    <row r="59" spans="1:16" ht="14.25" thickTop="1" thickBot="1" x14ac:dyDescent="0.25">
      <c r="A59" s="16" t="s">
        <v>116</v>
      </c>
      <c r="D59" s="12">
        <f>D57*D58</f>
        <v>1190000</v>
      </c>
      <c r="F59" s="16" t="s">
        <v>145</v>
      </c>
      <c r="G59" s="79">
        <f t="shared" ref="G59:P59" si="15">IF(G$44&lt;GV_OpYr1,0,IF(G$44=GV_OpYr1,GV_OpYr1Pct,1))*GV_AnnualSalaries</f>
        <v>0</v>
      </c>
      <c r="H59" s="79">
        <f t="shared" si="15"/>
        <v>595000</v>
      </c>
      <c r="I59" s="79">
        <f t="shared" si="15"/>
        <v>1190000</v>
      </c>
      <c r="J59" s="79">
        <f t="shared" si="15"/>
        <v>1190000</v>
      </c>
      <c r="K59" s="79">
        <f t="shared" si="15"/>
        <v>1190000</v>
      </c>
      <c r="L59" s="79">
        <f t="shared" si="15"/>
        <v>1190000</v>
      </c>
      <c r="M59" s="79">
        <f t="shared" si="15"/>
        <v>1190000</v>
      </c>
      <c r="N59" s="79">
        <f t="shared" si="15"/>
        <v>1190000</v>
      </c>
      <c r="O59" s="79">
        <f t="shared" si="15"/>
        <v>1190000</v>
      </c>
      <c r="P59" s="79">
        <f t="shared" si="15"/>
        <v>1190000</v>
      </c>
    </row>
    <row r="60" spans="1:16" ht="16.5" thickTop="1" thickBot="1" x14ac:dyDescent="0.4">
      <c r="A60" s="68" t="s">
        <v>113</v>
      </c>
      <c r="B60" t="s">
        <v>121</v>
      </c>
      <c r="D60" s="184">
        <v>48</v>
      </c>
      <c r="F60" s="16" t="s">
        <v>146</v>
      </c>
      <c r="G60" s="22">
        <f t="shared" ref="G60:P60" si="16">IF(G$44&lt;GV_OpYr1,0,IF(G$44=GV_OpYr1,GV_OpYr1Pct,1))*(GV_SalesPerMSF+GV_GnAperMSF)</f>
        <v>0</v>
      </c>
      <c r="H60" s="22">
        <f t="shared" si="16"/>
        <v>500000</v>
      </c>
      <c r="I60" s="22">
        <f t="shared" si="16"/>
        <v>1000000</v>
      </c>
      <c r="J60" s="22">
        <f t="shared" si="16"/>
        <v>1000000</v>
      </c>
      <c r="K60" s="22">
        <f t="shared" si="16"/>
        <v>1000000</v>
      </c>
      <c r="L60" s="22">
        <f t="shared" si="16"/>
        <v>1000000</v>
      </c>
      <c r="M60" s="22">
        <f t="shared" si="16"/>
        <v>1000000</v>
      </c>
      <c r="N60" s="22">
        <f t="shared" si="16"/>
        <v>1000000</v>
      </c>
      <c r="O60" s="22">
        <f t="shared" si="16"/>
        <v>1000000</v>
      </c>
      <c r="P60" s="22">
        <f t="shared" si="16"/>
        <v>1000000</v>
      </c>
    </row>
    <row r="61" spans="1:16" ht="14.25" thickTop="1" thickBot="1" x14ac:dyDescent="0.25">
      <c r="A61" s="16" t="s">
        <v>114</v>
      </c>
      <c r="B61" t="s">
        <v>115</v>
      </c>
      <c r="D61" s="190">
        <v>19</v>
      </c>
      <c r="F61" s="67" t="s">
        <v>147</v>
      </c>
      <c r="G61" s="236">
        <f>SUM(G59:G60)</f>
        <v>0</v>
      </c>
      <c r="H61" s="236">
        <f t="shared" ref="H61:P61" si="17">SUM(H59:H60)</f>
        <v>1095000</v>
      </c>
      <c r="I61" s="236">
        <f t="shared" si="17"/>
        <v>2190000</v>
      </c>
      <c r="J61" s="236">
        <f t="shared" si="17"/>
        <v>2190000</v>
      </c>
      <c r="K61" s="236">
        <f t="shared" si="17"/>
        <v>2190000</v>
      </c>
      <c r="L61" s="236">
        <f t="shared" si="17"/>
        <v>2190000</v>
      </c>
      <c r="M61" s="236">
        <f t="shared" si="17"/>
        <v>2190000</v>
      </c>
      <c r="N61" s="236">
        <f t="shared" si="17"/>
        <v>2190000</v>
      </c>
      <c r="O61" s="236">
        <f t="shared" si="17"/>
        <v>2190000</v>
      </c>
      <c r="P61" s="236">
        <f t="shared" si="17"/>
        <v>2190000</v>
      </c>
    </row>
    <row r="62" spans="1:16" ht="16.5" thickTop="1" thickBot="1" x14ac:dyDescent="0.4">
      <c r="A62" s="16" t="s">
        <v>79</v>
      </c>
      <c r="B62" t="s">
        <v>158</v>
      </c>
      <c r="D62" s="185">
        <v>0.5</v>
      </c>
      <c r="F62" s="15" t="s">
        <v>25</v>
      </c>
      <c r="G62" s="60">
        <f>G57+G61</f>
        <v>0</v>
      </c>
      <c r="H62" s="60">
        <f t="shared" ref="H62:P62" si="18">H57+H61</f>
        <v>14909870</v>
      </c>
      <c r="I62" s="60">
        <f t="shared" si="18"/>
        <v>29819740</v>
      </c>
      <c r="J62" s="60">
        <f t="shared" si="18"/>
        <v>29819740</v>
      </c>
      <c r="K62" s="60">
        <f t="shared" si="18"/>
        <v>29819740</v>
      </c>
      <c r="L62" s="60">
        <f t="shared" si="18"/>
        <v>29819740</v>
      </c>
      <c r="M62" s="60">
        <f t="shared" si="18"/>
        <v>29819740</v>
      </c>
      <c r="N62" s="60">
        <f t="shared" si="18"/>
        <v>29819740</v>
      </c>
      <c r="O62" s="60">
        <f t="shared" si="18"/>
        <v>29819740</v>
      </c>
      <c r="P62" s="60">
        <f t="shared" si="18"/>
        <v>29819740</v>
      </c>
    </row>
    <row r="63" spans="1:16" ht="14.25" thickTop="1" thickBot="1" x14ac:dyDescent="0.25">
      <c r="A63" s="16" t="s">
        <v>159</v>
      </c>
      <c r="B63" t="s">
        <v>160</v>
      </c>
      <c r="D63" s="184">
        <v>2000</v>
      </c>
      <c r="F63" s="114" t="s">
        <v>26</v>
      </c>
      <c r="G63" s="237">
        <f t="shared" ref="G63:P63" si="19">G47-G62</f>
        <v>0</v>
      </c>
      <c r="H63" s="237">
        <f t="shared" si="19"/>
        <v>2431830</v>
      </c>
      <c r="I63" s="237">
        <f t="shared" si="19"/>
        <v>4863660</v>
      </c>
      <c r="J63" s="237">
        <f t="shared" si="19"/>
        <v>4863660</v>
      </c>
      <c r="K63" s="237">
        <f t="shared" si="19"/>
        <v>4863660</v>
      </c>
      <c r="L63" s="237">
        <f t="shared" si="19"/>
        <v>4863660</v>
      </c>
      <c r="M63" s="237">
        <f t="shared" si="19"/>
        <v>4863660</v>
      </c>
      <c r="N63" s="237">
        <f t="shared" si="19"/>
        <v>4863660</v>
      </c>
      <c r="O63" s="237">
        <f t="shared" si="19"/>
        <v>4863660</v>
      </c>
      <c r="P63" s="237">
        <f t="shared" si="19"/>
        <v>4863660</v>
      </c>
    </row>
    <row r="64" spans="1:16" ht="14.25" thickTop="1" thickBot="1" x14ac:dyDescent="0.25">
      <c r="A64" s="16" t="s">
        <v>117</v>
      </c>
      <c r="B64" t="s">
        <v>118</v>
      </c>
      <c r="D64" s="185">
        <v>0.05</v>
      </c>
      <c r="F64" s="61"/>
      <c r="G64" s="238"/>
      <c r="H64" s="238"/>
      <c r="I64" s="238"/>
      <c r="J64" s="238"/>
      <c r="K64" s="238"/>
      <c r="L64" s="238"/>
      <c r="M64" s="238"/>
      <c r="N64" s="238"/>
      <c r="O64" s="238"/>
      <c r="P64" s="238"/>
    </row>
    <row r="65" spans="1:18" ht="14.25" thickTop="1" thickBot="1" x14ac:dyDescent="0.25">
      <c r="A65" s="16" t="s">
        <v>119</v>
      </c>
      <c r="B65" t="s">
        <v>120</v>
      </c>
      <c r="D65" s="191">
        <v>1.5</v>
      </c>
    </row>
    <row r="66" spans="1:18" ht="13.5" thickTop="1" x14ac:dyDescent="0.2">
      <c r="A66" s="16" t="s">
        <v>122</v>
      </c>
      <c r="D66" s="12">
        <f>D60*(D61*(1+D62))*(D63*(1+D64*D65))</f>
        <v>2941200</v>
      </c>
      <c r="F66" s="115" t="s">
        <v>15</v>
      </c>
    </row>
    <row r="67" spans="1:18" x14ac:dyDescent="0.2">
      <c r="A67" s="16" t="s">
        <v>89</v>
      </c>
      <c r="D67" s="12">
        <f>D59+D66</f>
        <v>4131200</v>
      </c>
      <c r="F67" s="13" t="s">
        <v>29</v>
      </c>
      <c r="G67" s="230">
        <f t="shared" ref="G67:P67" si="20">IF(AND(G$44&gt;=GV_ConstYr1,G$44&lt;=GV_ConstYr1+GV_ConstMonth/12),MIN(12,MAX(0,GV_ConstMonth-(G$44-GV_ConstYr1)*12)),0)</f>
        <v>12</v>
      </c>
      <c r="H67" s="230">
        <f t="shared" si="20"/>
        <v>6</v>
      </c>
      <c r="I67" s="230">
        <f t="shared" si="20"/>
        <v>0</v>
      </c>
      <c r="J67" s="230">
        <f t="shared" si="20"/>
        <v>0</v>
      </c>
      <c r="K67" s="230">
        <f t="shared" si="20"/>
        <v>0</v>
      </c>
      <c r="L67" s="230">
        <f t="shared" si="20"/>
        <v>0</v>
      </c>
      <c r="M67" s="230">
        <f t="shared" si="20"/>
        <v>0</v>
      </c>
      <c r="N67" s="230">
        <f t="shared" si="20"/>
        <v>0</v>
      </c>
      <c r="O67" s="230">
        <f t="shared" si="20"/>
        <v>0</v>
      </c>
      <c r="P67" s="230">
        <f t="shared" si="20"/>
        <v>0</v>
      </c>
    </row>
    <row r="68" spans="1:18" x14ac:dyDescent="0.2">
      <c r="D68" s="69"/>
      <c r="F68" s="13" t="s">
        <v>30</v>
      </c>
      <c r="G68" s="236">
        <f t="shared" ref="G68:P68" si="21">GV_CapX*G67/GV_ConstMonth</f>
        <v>20000000</v>
      </c>
      <c r="H68" s="236">
        <f t="shared" si="21"/>
        <v>10000000</v>
      </c>
      <c r="I68" s="236">
        <f t="shared" si="21"/>
        <v>0</v>
      </c>
      <c r="J68" s="236">
        <f t="shared" si="21"/>
        <v>0</v>
      </c>
      <c r="K68" s="236">
        <f t="shared" si="21"/>
        <v>0</v>
      </c>
      <c r="L68" s="236">
        <f t="shared" si="21"/>
        <v>0</v>
      </c>
      <c r="M68" s="236">
        <f t="shared" si="21"/>
        <v>0</v>
      </c>
      <c r="N68" s="236">
        <f t="shared" si="21"/>
        <v>0</v>
      </c>
      <c r="O68" s="236">
        <f t="shared" si="21"/>
        <v>0</v>
      </c>
      <c r="P68" s="236">
        <f t="shared" si="21"/>
        <v>0</v>
      </c>
    </row>
    <row r="69" spans="1:18" ht="13.5" thickBot="1" x14ac:dyDescent="0.25">
      <c r="A69" s="106" t="s">
        <v>67</v>
      </c>
    </row>
    <row r="70" spans="1:18" ht="14.25" thickTop="1" thickBot="1" x14ac:dyDescent="0.25">
      <c r="A70" s="16" t="s">
        <v>157</v>
      </c>
      <c r="B70" t="s">
        <v>161</v>
      </c>
      <c r="D70" s="190">
        <v>8.1050000000000004</v>
      </c>
      <c r="F70" s="115" t="s">
        <v>31</v>
      </c>
    </row>
    <row r="71" spans="1:18" ht="14.25" thickTop="1" thickBot="1" x14ac:dyDescent="0.25">
      <c r="A71" s="18" t="s">
        <v>110</v>
      </c>
      <c r="B71" t="s">
        <v>161</v>
      </c>
      <c r="D71" s="190">
        <v>6.0244999999999997</v>
      </c>
      <c r="F71" s="13" t="s">
        <v>32</v>
      </c>
      <c r="G71" s="236">
        <f t="shared" ref="G71:P71" si="22">G63-G68</f>
        <v>-20000000</v>
      </c>
      <c r="H71" s="236">
        <f t="shared" si="22"/>
        <v>-7568170</v>
      </c>
      <c r="I71" s="236">
        <f t="shared" si="22"/>
        <v>4863660</v>
      </c>
      <c r="J71" s="236">
        <f t="shared" si="22"/>
        <v>4863660</v>
      </c>
      <c r="K71" s="236">
        <f t="shared" si="22"/>
        <v>4863660</v>
      </c>
      <c r="L71" s="236">
        <f t="shared" si="22"/>
        <v>4863660</v>
      </c>
      <c r="M71" s="236">
        <f t="shared" si="22"/>
        <v>4863660</v>
      </c>
      <c r="N71" s="236">
        <f t="shared" si="22"/>
        <v>4863660</v>
      </c>
      <c r="O71" s="236">
        <f t="shared" si="22"/>
        <v>4863660</v>
      </c>
      <c r="P71" s="236">
        <f t="shared" si="22"/>
        <v>4863660</v>
      </c>
      <c r="R71" s="23"/>
    </row>
    <row r="72" spans="1:18" ht="14.25" thickTop="1" thickBot="1" x14ac:dyDescent="0.25">
      <c r="A72" s="18" t="s">
        <v>94</v>
      </c>
      <c r="B72" t="s">
        <v>161</v>
      </c>
      <c r="D72" s="190">
        <v>4.3324999999999996</v>
      </c>
      <c r="F72" s="13" t="s">
        <v>33</v>
      </c>
      <c r="G72" s="236">
        <f>G71</f>
        <v>-20000000</v>
      </c>
      <c r="H72" s="236">
        <f>G72+H71</f>
        <v>-27568170</v>
      </c>
      <c r="I72" s="236">
        <f t="shared" ref="I72:P72" si="23">H72+I71</f>
        <v>-22704510</v>
      </c>
      <c r="J72" s="236">
        <f t="shared" si="23"/>
        <v>-17840850</v>
      </c>
      <c r="K72" s="236">
        <f t="shared" si="23"/>
        <v>-12977190</v>
      </c>
      <c r="L72" s="236">
        <f t="shared" si="23"/>
        <v>-8113530</v>
      </c>
      <c r="M72" s="236">
        <f t="shared" si="23"/>
        <v>-3249870</v>
      </c>
      <c r="N72" s="236">
        <f t="shared" si="23"/>
        <v>1613790</v>
      </c>
      <c r="O72" s="236">
        <f t="shared" si="23"/>
        <v>6477450</v>
      </c>
      <c r="P72" s="236">
        <f t="shared" si="23"/>
        <v>11341110</v>
      </c>
    </row>
    <row r="73" spans="1:18" ht="14.25" thickTop="1" thickBot="1" x14ac:dyDescent="0.25">
      <c r="A73" s="18" t="s">
        <v>190</v>
      </c>
      <c r="B73" t="s">
        <v>277</v>
      </c>
      <c r="D73" s="187">
        <v>100000</v>
      </c>
    </row>
    <row r="74" spans="1:18" ht="14.25" thickTop="1" thickBot="1" x14ac:dyDescent="0.25">
      <c r="A74" s="16" t="s">
        <v>191</v>
      </c>
      <c r="B74" t="s">
        <v>277</v>
      </c>
      <c r="D74" s="187">
        <v>900000</v>
      </c>
      <c r="F74" s="51" t="s">
        <v>169</v>
      </c>
      <c r="P74" s="239"/>
    </row>
    <row r="75" spans="1:18" ht="14.25" thickTop="1" thickBot="1" x14ac:dyDescent="0.25">
      <c r="A75" s="16" t="s">
        <v>67</v>
      </c>
      <c r="B75" t="s">
        <v>277</v>
      </c>
      <c r="D75" s="187">
        <v>300000</v>
      </c>
      <c r="F75" t="s">
        <v>170</v>
      </c>
      <c r="G75" s="230">
        <f>MATCH(0,$G$72:$P$72,1)+FLOOR(IF(P72&lt;0,(-1)*P72/P71,0),1)</f>
        <v>7</v>
      </c>
    </row>
    <row r="76" spans="1:18" ht="13.5" thickTop="1" x14ac:dyDescent="0.2">
      <c r="A76" s="16" t="s">
        <v>128</v>
      </c>
      <c r="D76" s="202">
        <f>SUM(D70:D72)*GV_Output+SUM(D73:D75)</f>
        <v>4438540</v>
      </c>
      <c r="F76" t="s">
        <v>171</v>
      </c>
      <c r="G76" s="230">
        <f ca="1">CEILING(12*IF(P72&gt;0,OFFSET(G72,0,G75-1)/(OFFSET(G72,0,G75-1)-OFFSET(G72,0,G75)),((-P72/P71)-FLOOR(-P72/P71,1))),1)</f>
        <v>9</v>
      </c>
      <c r="H76" s="236"/>
    </row>
    <row r="77" spans="1:18" x14ac:dyDescent="0.2">
      <c r="A77" s="16"/>
      <c r="F77" t="s">
        <v>172</v>
      </c>
      <c r="G77" s="230">
        <f ca="1">IF(GV_OpYr1&gt;MAX(modelYears),"n/a",12*G75+G76)</f>
        <v>93</v>
      </c>
    </row>
    <row r="78" spans="1:18" x14ac:dyDescent="0.2">
      <c r="A78" s="51" t="s">
        <v>23</v>
      </c>
      <c r="F78" t="s">
        <v>173</v>
      </c>
      <c r="G78" s="230">
        <f>IF(GV_OpYr1&gt;MAX(modelYears),"n/a",G44+G75)</f>
        <v>2024</v>
      </c>
    </row>
    <row r="79" spans="1:18" ht="13.5" thickBot="1" x14ac:dyDescent="0.25">
      <c r="A79" s="106" t="s">
        <v>213</v>
      </c>
      <c r="C79" s="129" t="s">
        <v>212</v>
      </c>
      <c r="D79" s="126" t="s">
        <v>211</v>
      </c>
    </row>
    <row r="80" spans="1:18" ht="14.25" thickTop="1" thickBot="1" x14ac:dyDescent="0.25">
      <c r="A80" s="16" t="s">
        <v>214</v>
      </c>
      <c r="B80" t="s">
        <v>202</v>
      </c>
      <c r="C80" s="192">
        <v>0.75</v>
      </c>
      <c r="D80" s="190">
        <f>185</f>
        <v>185</v>
      </c>
      <c r="F80" t="s">
        <v>255</v>
      </c>
      <c r="G80" s="240">
        <f>NPV(HurdleRate,G71:P71,GV_OCF*TVmult)</f>
        <v>14054349.898699544</v>
      </c>
    </row>
    <row r="81" spans="1:7" ht="14.25" thickTop="1" thickBot="1" x14ac:dyDescent="0.25">
      <c r="A81" s="16" t="s">
        <v>278</v>
      </c>
      <c r="C81" s="192">
        <v>0.25</v>
      </c>
      <c r="D81" s="190">
        <f>170</f>
        <v>170</v>
      </c>
      <c r="F81" t="s">
        <v>254</v>
      </c>
      <c r="G81" s="241">
        <f>GV_OCF/GV_CapX</f>
        <v>0.16212199999999999</v>
      </c>
    </row>
    <row r="82" spans="1:7" ht="14.25" thickTop="1" thickBot="1" x14ac:dyDescent="0.25">
      <c r="A82" s="16" t="s">
        <v>215</v>
      </c>
      <c r="C82" s="192">
        <v>0</v>
      </c>
      <c r="D82" s="190">
        <f>+D81*0.8</f>
        <v>136</v>
      </c>
    </row>
    <row r="83" spans="1:7" ht="13.5" thickTop="1" x14ac:dyDescent="0.2">
      <c r="A83" s="16" t="s">
        <v>216</v>
      </c>
      <c r="C83" s="127">
        <v>1</v>
      </c>
      <c r="D83" s="135">
        <f>SUMPRODUCT(C80:C82,D80:D82)</f>
        <v>181.25</v>
      </c>
    </row>
    <row r="84" spans="1:7" ht="13.5" thickBot="1" x14ac:dyDescent="0.25"/>
    <row r="85" spans="1:7" ht="14.25" thickTop="1" thickBot="1" x14ac:dyDescent="0.25">
      <c r="A85" s="106" t="s">
        <v>276</v>
      </c>
      <c r="B85" t="s">
        <v>217</v>
      </c>
      <c r="D85" s="190">
        <f>10+10.56+2.21</f>
        <v>22.770000000000003</v>
      </c>
    </row>
    <row r="86" spans="1:7" ht="13.5" thickTop="1" x14ac:dyDescent="0.2"/>
    <row r="87" spans="1:7" x14ac:dyDescent="0.2">
      <c r="A87" s="106" t="s">
        <v>218</v>
      </c>
      <c r="D87" s="135">
        <f>D83+D85</f>
        <v>204.02</v>
      </c>
    </row>
    <row r="90" spans="1:7" x14ac:dyDescent="0.2">
      <c r="D90" s="82"/>
    </row>
    <row r="91" spans="1:7" x14ac:dyDescent="0.2">
      <c r="D91" s="82"/>
    </row>
    <row r="94" spans="1:7" x14ac:dyDescent="0.2">
      <c r="D94" s="128"/>
    </row>
    <row r="96" spans="1:7" x14ac:dyDescent="0.2">
      <c r="D96" s="128"/>
    </row>
    <row r="98" spans="4:4" x14ac:dyDescent="0.2">
      <c r="D98" s="82"/>
    </row>
  </sheetData>
  <conditionalFormatting sqref="G15:P15">
    <cfRule type="cellIs" dxfId="0" priority="1" operator="greaterThan">
      <formula>1</formula>
    </cfRule>
  </conditionalFormatting>
  <dataValidations count="1">
    <dataValidation type="list" allowBlank="1" showInputMessage="1" showErrorMessage="1" sqref="D40">
      <formula1>modelYears</formula1>
    </dataValidation>
  </dataValidations>
  <pageMargins left="0.7" right="0.7" top="0.75" bottom="0.75" header="0.3" footer="0.3"/>
  <pageSetup scale="40" orientation="landscape" horizontalDpi="4294967292" verticalDpi="4294967292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21"/>
  <sheetViews>
    <sheetView workbookViewId="0">
      <pane ySplit="4" topLeftCell="A5" activePane="bottomLeft" state="frozen"/>
      <selection pane="bottomLeft" activeCell="E11" sqref="E11"/>
    </sheetView>
  </sheetViews>
  <sheetFormatPr defaultColWidth="8.7109375" defaultRowHeight="12.75" x14ac:dyDescent="0.2"/>
  <cols>
    <col min="1" max="1" width="29.7109375" customWidth="1"/>
  </cols>
  <sheetData>
    <row r="1" spans="1:2" s="27" customFormat="1" x14ac:dyDescent="0.2">
      <c r="A1" s="26" t="str">
        <f>doctitle</f>
        <v>High-Level Feasibility Model</v>
      </c>
    </row>
    <row r="2" spans="1:2" s="27" customFormat="1" x14ac:dyDescent="0.2">
      <c r="A2" s="26" t="str">
        <f>docclient</f>
        <v>National Forest Foundation</v>
      </c>
    </row>
    <row r="3" spans="1:2" s="27" customFormat="1" x14ac:dyDescent="0.2">
      <c r="A3" s="26" t="str">
        <f>docproject</f>
        <v>California Assessment of Wood Business Innovation Opportunities and Markets</v>
      </c>
    </row>
    <row r="4" spans="1:2" s="27" customFormat="1" x14ac:dyDescent="0.2">
      <c r="A4" s="28" t="s">
        <v>261</v>
      </c>
    </row>
    <row r="7" spans="1:2" ht="13.5" thickBot="1" x14ac:dyDescent="0.25">
      <c r="A7" s="226" t="s">
        <v>9</v>
      </c>
      <c r="B7" s="226"/>
    </row>
    <row r="8" spans="1:2" ht="13.5" thickTop="1" x14ac:dyDescent="0.2">
      <c r="A8" s="142" t="s">
        <v>4</v>
      </c>
      <c r="B8" s="140">
        <v>2017</v>
      </c>
    </row>
    <row r="9" spans="1:2" x14ac:dyDescent="0.2">
      <c r="A9" s="142" t="s">
        <v>10</v>
      </c>
      <c r="B9" s="143">
        <f>B8+1</f>
        <v>2018</v>
      </c>
    </row>
    <row r="10" spans="1:2" x14ac:dyDescent="0.2">
      <c r="A10" s="142" t="s">
        <v>12</v>
      </c>
      <c r="B10" s="143">
        <f t="shared" ref="B10:B17" si="0">B9+1</f>
        <v>2019</v>
      </c>
    </row>
    <row r="11" spans="1:2" x14ac:dyDescent="0.2">
      <c r="A11" s="142" t="s">
        <v>11</v>
      </c>
      <c r="B11" s="143">
        <f t="shared" si="0"/>
        <v>2020</v>
      </c>
    </row>
    <row r="12" spans="1:2" x14ac:dyDescent="0.2">
      <c r="A12" s="142" t="s">
        <v>13</v>
      </c>
      <c r="B12" s="143">
        <f t="shared" si="0"/>
        <v>2021</v>
      </c>
    </row>
    <row r="13" spans="1:2" x14ac:dyDescent="0.2">
      <c r="A13" s="142" t="s">
        <v>36</v>
      </c>
      <c r="B13" s="143">
        <f t="shared" si="0"/>
        <v>2022</v>
      </c>
    </row>
    <row r="14" spans="1:2" x14ac:dyDescent="0.2">
      <c r="A14" s="142" t="s">
        <v>37</v>
      </c>
      <c r="B14" s="143">
        <f t="shared" si="0"/>
        <v>2023</v>
      </c>
    </row>
    <row r="15" spans="1:2" x14ac:dyDescent="0.2">
      <c r="A15" s="142" t="s">
        <v>38</v>
      </c>
      <c r="B15" s="143">
        <f t="shared" si="0"/>
        <v>2024</v>
      </c>
    </row>
    <row r="16" spans="1:2" x14ac:dyDescent="0.2">
      <c r="A16" s="142" t="s">
        <v>39</v>
      </c>
      <c r="B16" s="143">
        <f t="shared" si="0"/>
        <v>2025</v>
      </c>
    </row>
    <row r="17" spans="1:2" x14ac:dyDescent="0.2">
      <c r="A17" s="142" t="s">
        <v>40</v>
      </c>
      <c r="B17" s="143">
        <f t="shared" si="0"/>
        <v>2026</v>
      </c>
    </row>
    <row r="19" spans="1:2" ht="13.5" thickBot="1" x14ac:dyDescent="0.25">
      <c r="A19" s="144" t="s">
        <v>251</v>
      </c>
      <c r="B19" s="144"/>
    </row>
    <row r="20" spans="1:2" ht="13.5" thickTop="1" x14ac:dyDescent="0.2">
      <c r="A20" s="142" t="s">
        <v>252</v>
      </c>
      <c r="B20" s="140">
        <v>10</v>
      </c>
    </row>
    <row r="21" spans="1:2" x14ac:dyDescent="0.2">
      <c r="A21" s="142" t="s">
        <v>253</v>
      </c>
      <c r="B21" s="141">
        <v>0.1</v>
      </c>
    </row>
  </sheetData>
  <sheetProtection sheet="1" objects="1" scenarios="1"/>
  <mergeCells count="1">
    <mergeCell ref="A7:B7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138</vt:i4>
      </vt:variant>
    </vt:vector>
  </HeadingPairs>
  <TitlesOfParts>
    <vt:vector size="144" baseType="lpstr">
      <vt:lpstr>Summary</vt:lpstr>
      <vt:lpstr>SSB</vt:lpstr>
      <vt:lpstr>OSB</vt:lpstr>
      <vt:lpstr>CLT</vt:lpstr>
      <vt:lpstr>GV</vt:lpstr>
      <vt:lpstr>model-wide inputs</vt:lpstr>
      <vt:lpstr>Anc_Rev_A</vt:lpstr>
      <vt:lpstr>Anc_Rev_C</vt:lpstr>
      <vt:lpstr>BTU_A</vt:lpstr>
      <vt:lpstr>BTU_C</vt:lpstr>
      <vt:lpstr>BTUperPPH_A</vt:lpstr>
      <vt:lpstr>BTUperPPH_C</vt:lpstr>
      <vt:lpstr>CapX_A</vt:lpstr>
      <vt:lpstr>CapX_C</vt:lpstr>
      <vt:lpstr>CLT_Acres</vt:lpstr>
      <vt:lpstr>CLT_AnnualAdmin</vt:lpstr>
      <vt:lpstr>CLT_AnnualCOGS</vt:lpstr>
      <vt:lpstr>CLT_AnnualHourlyLabor</vt:lpstr>
      <vt:lpstr>CLT_AnnualLabor</vt:lpstr>
      <vt:lpstr>CLT_AnnualSalaries</vt:lpstr>
      <vt:lpstr>CLT_BEmonths</vt:lpstr>
      <vt:lpstr>CLT_CapX</vt:lpstr>
      <vt:lpstr>CLT_COGS</vt:lpstr>
      <vt:lpstr>CLT_ConstMonth</vt:lpstr>
      <vt:lpstr>CLT_ConstYr1</vt:lpstr>
      <vt:lpstr>CLT_MaterialPerHour</vt:lpstr>
      <vt:lpstr>CLT_MktBase</vt:lpstr>
      <vt:lpstr>CLT_MktBaseYr1</vt:lpstr>
      <vt:lpstr>CLT_MktShare</vt:lpstr>
      <vt:lpstr>CLT_NPV</vt:lpstr>
      <vt:lpstr>CLT_OCF</vt:lpstr>
      <vt:lpstr>CLT_OpHours</vt:lpstr>
      <vt:lpstr>CLT_OpYr1</vt:lpstr>
      <vt:lpstr>CLT_OpYr1Pct</vt:lpstr>
      <vt:lpstr>CLT_Output</vt:lpstr>
      <vt:lpstr>CLT_RandMperHour</vt:lpstr>
      <vt:lpstr>CLT_RawMaterialsCost</vt:lpstr>
      <vt:lpstr>CLT_RevPerFt3</vt:lpstr>
      <vt:lpstr>CLT_SuppliesPerHour</vt:lpstr>
      <vt:lpstr>ConstMonths_A</vt:lpstr>
      <vt:lpstr>ConstMonths_C</vt:lpstr>
      <vt:lpstr>ConstYr1_A</vt:lpstr>
      <vt:lpstr>ConstYr1_C</vt:lpstr>
      <vt:lpstr>Consumables_A</vt:lpstr>
      <vt:lpstr>Consumables_C</vt:lpstr>
      <vt:lpstr>docclient</vt:lpstr>
      <vt:lpstr>docproject</vt:lpstr>
      <vt:lpstr>doctitle</vt:lpstr>
      <vt:lpstr>docversion</vt:lpstr>
      <vt:lpstr>Env_A</vt:lpstr>
      <vt:lpstr>Env_C</vt:lpstr>
      <vt:lpstr>Fuel_A</vt:lpstr>
      <vt:lpstr>Fuel_C</vt:lpstr>
      <vt:lpstr>FuelCost_A</vt:lpstr>
      <vt:lpstr>FuelCost_C</vt:lpstr>
      <vt:lpstr>GA_A</vt:lpstr>
      <vt:lpstr>GA_C</vt:lpstr>
      <vt:lpstr>GV_Acres</vt:lpstr>
      <vt:lpstr>GV_AnnualCOGS</vt:lpstr>
      <vt:lpstr>GV_AnnualHourlyLabor</vt:lpstr>
      <vt:lpstr>GV_AnnualSalaries</vt:lpstr>
      <vt:lpstr>GV_BEmonths</vt:lpstr>
      <vt:lpstr>GV_CapX</vt:lpstr>
      <vt:lpstr>GV_ConstMonth</vt:lpstr>
      <vt:lpstr>GV_ConstYr1</vt:lpstr>
      <vt:lpstr>GV_GnAperMSF</vt:lpstr>
      <vt:lpstr>GV_Growth</vt:lpstr>
      <vt:lpstr>GV_MaintPerMSF</vt:lpstr>
      <vt:lpstr>GV_MktBase</vt:lpstr>
      <vt:lpstr>GV_MktShare</vt:lpstr>
      <vt:lpstr>GV_NPV</vt:lpstr>
      <vt:lpstr>GV_OCF</vt:lpstr>
      <vt:lpstr>GV_OpHours</vt:lpstr>
      <vt:lpstr>GV_OpYr1</vt:lpstr>
      <vt:lpstr>GV_OpYr1Pct</vt:lpstr>
      <vt:lpstr>GV_OtherPerMSF</vt:lpstr>
      <vt:lpstr>GV_Output</vt:lpstr>
      <vt:lpstr>GV_RawMaterialsCost</vt:lpstr>
      <vt:lpstr>GV_RevPerMSF</vt:lpstr>
      <vt:lpstr>GV_SalesPerMSF</vt:lpstr>
      <vt:lpstr>GV_SuppliesPerMSF</vt:lpstr>
      <vt:lpstr>GV_UtilitiesPerMSF</vt:lpstr>
      <vt:lpstr>HurdleRate</vt:lpstr>
      <vt:lpstr>Infl_A</vt:lpstr>
      <vt:lpstr>Infl_C</vt:lpstr>
      <vt:lpstr>InflElec_A</vt:lpstr>
      <vt:lpstr>InflElec_C</vt:lpstr>
      <vt:lpstr>Labor_A</vt:lpstr>
      <vt:lpstr>Labor_C</vt:lpstr>
      <vt:lpstr>Maint_A</vt:lpstr>
      <vt:lpstr>Maint_C</vt:lpstr>
      <vt:lpstr>MajorMaint_A</vt:lpstr>
      <vt:lpstr>MajorMaint_C</vt:lpstr>
      <vt:lpstr>modelYear1</vt:lpstr>
      <vt:lpstr>modelYears</vt:lpstr>
      <vt:lpstr>MW_A</vt:lpstr>
      <vt:lpstr>MW_C</vt:lpstr>
      <vt:lpstr>OpHrs_A</vt:lpstr>
      <vt:lpstr>OpHrs_C</vt:lpstr>
      <vt:lpstr>OptionChoice</vt:lpstr>
      <vt:lpstr>OpYr1_A</vt:lpstr>
      <vt:lpstr>OpYr1_C</vt:lpstr>
      <vt:lpstr>OpYr1Pct_A</vt:lpstr>
      <vt:lpstr>OpYr1Pct_C</vt:lpstr>
      <vt:lpstr>OSB_Acres</vt:lpstr>
      <vt:lpstr>OSB_AnnualCOGS</vt:lpstr>
      <vt:lpstr>OSB_AnnualHourlyLabor</vt:lpstr>
      <vt:lpstr>OSB_AnnualSalaries</vt:lpstr>
      <vt:lpstr>OSB_BEmonths</vt:lpstr>
      <vt:lpstr>OSB_CapX</vt:lpstr>
      <vt:lpstr>OSB_ConstMonth</vt:lpstr>
      <vt:lpstr>OSB_ConstYr1</vt:lpstr>
      <vt:lpstr>OSB_ContSvcesPerMSF</vt:lpstr>
      <vt:lpstr>OSB_Growth</vt:lpstr>
      <vt:lpstr>OSB_MaterialPerHour</vt:lpstr>
      <vt:lpstr>OSB_MktBase</vt:lpstr>
      <vt:lpstr>OSB_MktBaseYr1</vt:lpstr>
      <vt:lpstr>OSB_MktShare</vt:lpstr>
      <vt:lpstr>OSB_NPV</vt:lpstr>
      <vt:lpstr>OSB_OCF</vt:lpstr>
      <vt:lpstr>OSB_OpHours</vt:lpstr>
      <vt:lpstr>OSB_OpYr1</vt:lpstr>
      <vt:lpstr>OSB_OpYr1Pct</vt:lpstr>
      <vt:lpstr>OSB_OtherPerMSF</vt:lpstr>
      <vt:lpstr>OSB_Output</vt:lpstr>
      <vt:lpstr>OSB_RawMaterialsCost</vt:lpstr>
      <vt:lpstr>OSB_RevPerMSF</vt:lpstr>
      <vt:lpstr>OSB_SuppliesPerMSF</vt:lpstr>
      <vt:lpstr>OSB_UtilitiesPerMSF</vt:lpstr>
      <vt:lpstr>RevPerKWH_A</vt:lpstr>
      <vt:lpstr>RevPerKWH_C</vt:lpstr>
      <vt:lpstr>RevPerMpph_A</vt:lpstr>
      <vt:lpstr>RevPerMpph_C</vt:lpstr>
      <vt:lpstr>SSB_Acres</vt:lpstr>
      <vt:lpstr>SSB_BEmonths</vt:lpstr>
      <vt:lpstr>SSB_CapX</vt:lpstr>
      <vt:lpstr>SSB_NPV</vt:lpstr>
      <vt:lpstr>SSB_OCF</vt:lpstr>
      <vt:lpstr>SSB_SA_Acres</vt:lpstr>
      <vt:lpstr>SSB_SA_BEmonths</vt:lpstr>
      <vt:lpstr>SSB_SA_CapX</vt:lpstr>
      <vt:lpstr>SSB_SA_NPV</vt:lpstr>
      <vt:lpstr>SSB_SA_OCF</vt:lpstr>
      <vt:lpstr>TVmult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H</dc:creator>
  <cp:lastModifiedBy>Vance Russell</cp:lastModifiedBy>
  <cp:lastPrinted>2015-07-21T19:45:30Z</cp:lastPrinted>
  <dcterms:created xsi:type="dcterms:W3CDTF">2015-07-21T15:27:04Z</dcterms:created>
  <dcterms:modified xsi:type="dcterms:W3CDTF">2016-11-10T23:56:16Z</dcterms:modified>
</cp:coreProperties>
</file>